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hidePivotFieldList="1" defaultThemeVersion="166925"/>
  <xr:revisionPtr revIDLastSave="0" documentId="13_ncr:1_{C1B3A4D7-5567-4375-AEC7-6FA92ADAD21A}" xr6:coauthVersionLast="47" xr6:coauthVersionMax="47" xr10:uidLastSave="{00000000-0000-0000-0000-000000000000}"/>
  <bookViews>
    <workbookView xWindow="-96" yWindow="-96" windowWidth="23232" windowHeight="12552" tabRatio="710" xr2:uid="{00000000-000D-0000-FFFF-FFFF00000000}"/>
  </bookViews>
  <sheets>
    <sheet name="Instructions" sheetId="21" r:id="rId1"/>
    <sheet name="Exogenous Costs" sheetId="24" r:id="rId2"/>
    <sheet name="Study Area 1 Input (new)" sheetId="61" r:id="rId3"/>
    <sheet name="Study Area 2 Input" sheetId="62" r:id="rId4"/>
    <sheet name="Study Area 3 Input" sheetId="63" r:id="rId5"/>
    <sheet name="Factor Dev" sheetId="5" r:id="rId6"/>
    <sheet name="Holding Co TRP" sheetId="20" r:id="rId7"/>
    <sheet name="Date sheet" sheetId="57" state="hidden" r:id="rId8"/>
  </sheets>
  <definedNames>
    <definedName name="CurrentRate">'Date sheet'!$B$10</definedName>
    <definedName name="DemandYear">'Date sheet'!$B$5</definedName>
    <definedName name="FilingYear">'Date sheet'!$B$6</definedName>
    <definedName name="_xlnm.Print_Titles" localSheetId="1">'Exogenous Costs'!$2:$5</definedName>
    <definedName name="_xlnm.Print_Titles" localSheetId="5">'Factor Dev'!$2:$5</definedName>
    <definedName name="_xlnm.Print_Titles" localSheetId="6">'Holding Co TRP'!$1:$4</definedName>
    <definedName name="_xlnm.Print_Titles" localSheetId="2">'Study Area 1 Input (new)'!$1:$4</definedName>
    <definedName name="_xlnm.Print_Titles" localSheetId="3">'Study Area 2 Input'!$1:$4</definedName>
    <definedName name="_xlnm.Print_Titles" localSheetId="4">'Study Area 3 Input'!$1:$4</definedName>
    <definedName name="SA270426NONRECUR">#REF!</definedName>
    <definedName name="SA270426RECUR">#REF!</definedName>
    <definedName name="SA300633NONRECUR" localSheetId="2">#REF!</definedName>
    <definedName name="SA300633NONRECUR">#REF!</definedName>
    <definedName name="SA300658NONRECUR">#REF!</definedName>
    <definedName name="SA300658RECUR">#REF!</definedName>
    <definedName name="SA351156NONRECUR">#REF!</definedName>
    <definedName name="SA351156RECUR">#REF!</definedName>
    <definedName name="SA351343NONRECUR">#REF!</definedName>
    <definedName name="SA351343RECUR">#REF!</definedName>
    <definedName name="SA371574NONRECUR">#REF!</definedName>
    <definedName name="SA371574RECUR">#REF!</definedName>
    <definedName name="TariffEffectiveDate">'Date sheet'!$B$8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5" l="1"/>
  <c r="G15" i="5"/>
  <c r="Q15" i="5"/>
  <c r="F13" i="5"/>
  <c r="K58" i="20" l="1"/>
  <c r="J58" i="20"/>
  <c r="I58" i="20"/>
  <c r="H58" i="20"/>
  <c r="G58" i="20"/>
  <c r="F58" i="20"/>
  <c r="E58" i="20"/>
  <c r="D58" i="20"/>
  <c r="C58" i="20"/>
  <c r="K43" i="20"/>
  <c r="J43" i="20"/>
  <c r="I43" i="20"/>
  <c r="H43" i="20"/>
  <c r="G43" i="20"/>
  <c r="F43" i="20"/>
  <c r="E43" i="20"/>
  <c r="C43" i="20"/>
  <c r="N19" i="5"/>
  <c r="C13" i="20"/>
  <c r="W15" i="5"/>
  <c r="V15" i="5" l="1"/>
  <c r="T15" i="5" l="1"/>
  <c r="U15" i="5"/>
  <c r="K88" i="63" l="1"/>
  <c r="J88" i="63"/>
  <c r="I88" i="63"/>
  <c r="H88" i="63"/>
  <c r="F88" i="63"/>
  <c r="E88" i="63"/>
  <c r="D88" i="63"/>
  <c r="K88" i="62"/>
  <c r="J88" i="62"/>
  <c r="I88" i="62"/>
  <c r="F88" i="62"/>
  <c r="E88" i="62"/>
  <c r="D88" i="62"/>
  <c r="M17" i="62"/>
  <c r="L17" i="62"/>
  <c r="K17" i="62"/>
  <c r="J17" i="62"/>
  <c r="I17" i="62"/>
  <c r="H17" i="62"/>
  <c r="F17" i="62"/>
  <c r="E17" i="62"/>
  <c r="D17" i="62"/>
  <c r="M17" i="63"/>
  <c r="L17" i="63"/>
  <c r="K17" i="63"/>
  <c r="J17" i="63"/>
  <c r="I17" i="63"/>
  <c r="F17" i="63"/>
  <c r="E17" i="63"/>
  <c r="D17" i="63"/>
  <c r="C8" i="63" l="1"/>
  <c r="C8" i="62"/>
  <c r="C9" i="61"/>
  <c r="C8" i="61"/>
  <c r="B56" i="20" l="1"/>
  <c r="B41" i="20"/>
  <c r="K28" i="20"/>
  <c r="H28" i="20"/>
  <c r="E28" i="20"/>
  <c r="B26" i="20"/>
  <c r="K150" i="63"/>
  <c r="J150" i="63"/>
  <c r="I150" i="63"/>
  <c r="G150" i="63"/>
  <c r="K149" i="63"/>
  <c r="J149" i="63"/>
  <c r="I149" i="63"/>
  <c r="G149" i="63"/>
  <c r="K148" i="63"/>
  <c r="J148" i="63"/>
  <c r="I148" i="63"/>
  <c r="G148" i="63"/>
  <c r="K147" i="63"/>
  <c r="J147" i="63"/>
  <c r="I147" i="63"/>
  <c r="G147" i="63"/>
  <c r="K146" i="63"/>
  <c r="J146" i="63"/>
  <c r="I146" i="63"/>
  <c r="G146" i="63"/>
  <c r="K144" i="63"/>
  <c r="J144" i="63"/>
  <c r="I144" i="63"/>
  <c r="G144" i="63"/>
  <c r="K143" i="63"/>
  <c r="L143" i="63" s="1"/>
  <c r="J143" i="63"/>
  <c r="I143" i="63"/>
  <c r="G143" i="63"/>
  <c r="K142" i="63"/>
  <c r="J142" i="63"/>
  <c r="I142" i="63"/>
  <c r="G142" i="63"/>
  <c r="K141" i="63"/>
  <c r="J141" i="63"/>
  <c r="I141" i="63"/>
  <c r="G141" i="63"/>
  <c r="K140" i="63"/>
  <c r="J140" i="63"/>
  <c r="I140" i="63"/>
  <c r="G140" i="63"/>
  <c r="K138" i="63"/>
  <c r="J138" i="63"/>
  <c r="I138" i="63"/>
  <c r="G138" i="63"/>
  <c r="K137" i="63"/>
  <c r="L137" i="63" s="1"/>
  <c r="J137" i="63"/>
  <c r="I137" i="63"/>
  <c r="G137" i="63"/>
  <c r="K136" i="63"/>
  <c r="J136" i="63"/>
  <c r="I136" i="63"/>
  <c r="G136" i="63"/>
  <c r="K135" i="63"/>
  <c r="J135" i="63"/>
  <c r="I135" i="63"/>
  <c r="G135" i="63"/>
  <c r="K134" i="63"/>
  <c r="J134" i="63"/>
  <c r="I134" i="63"/>
  <c r="G134" i="63"/>
  <c r="K132" i="63"/>
  <c r="J132" i="63"/>
  <c r="I132" i="63"/>
  <c r="G132" i="63"/>
  <c r="K131" i="63"/>
  <c r="L131" i="63" s="1"/>
  <c r="J131" i="63"/>
  <c r="I131" i="63"/>
  <c r="G131" i="63"/>
  <c r="K130" i="63"/>
  <c r="J130" i="63"/>
  <c r="I130" i="63"/>
  <c r="G130" i="63"/>
  <c r="K129" i="63"/>
  <c r="J129" i="63"/>
  <c r="I129" i="63"/>
  <c r="G129" i="63"/>
  <c r="K128" i="63"/>
  <c r="J128" i="63"/>
  <c r="I128" i="63"/>
  <c r="G128" i="63"/>
  <c r="K126" i="63"/>
  <c r="J126" i="63"/>
  <c r="I126" i="63"/>
  <c r="G126" i="63"/>
  <c r="K125" i="63"/>
  <c r="J125" i="63"/>
  <c r="I125" i="63"/>
  <c r="G125" i="63"/>
  <c r="K124" i="63"/>
  <c r="J124" i="63"/>
  <c r="I124" i="63"/>
  <c r="F64" i="20" s="1"/>
  <c r="G124" i="63"/>
  <c r="K123" i="63"/>
  <c r="J123" i="63"/>
  <c r="I123" i="63"/>
  <c r="G123" i="63"/>
  <c r="K122" i="63"/>
  <c r="J122" i="63"/>
  <c r="L122" i="63" s="1"/>
  <c r="I122" i="63"/>
  <c r="F63" i="20" s="1"/>
  <c r="G122" i="63"/>
  <c r="K120" i="63"/>
  <c r="J120" i="63"/>
  <c r="I120" i="63"/>
  <c r="G120" i="63"/>
  <c r="K119" i="63"/>
  <c r="J119" i="63"/>
  <c r="I119" i="63"/>
  <c r="G119" i="63"/>
  <c r="K118" i="63"/>
  <c r="J118" i="63"/>
  <c r="I118" i="63"/>
  <c r="G118" i="63"/>
  <c r="K117" i="63"/>
  <c r="J117" i="63"/>
  <c r="I117" i="63"/>
  <c r="G117" i="63"/>
  <c r="K116" i="63"/>
  <c r="J116" i="63"/>
  <c r="I116" i="63"/>
  <c r="G116" i="63"/>
  <c r="K114" i="63"/>
  <c r="J114" i="63"/>
  <c r="I114" i="63"/>
  <c r="G114" i="63"/>
  <c r="K113" i="63"/>
  <c r="J113" i="63"/>
  <c r="I113" i="63"/>
  <c r="G113" i="63"/>
  <c r="K112" i="63"/>
  <c r="J112" i="63"/>
  <c r="I112" i="63"/>
  <c r="G112" i="63"/>
  <c r="K111" i="63"/>
  <c r="J111" i="63"/>
  <c r="I111" i="63"/>
  <c r="G111" i="63"/>
  <c r="K110" i="63"/>
  <c r="J110" i="63"/>
  <c r="I110" i="63"/>
  <c r="G110" i="63"/>
  <c r="K108" i="63"/>
  <c r="J108" i="63"/>
  <c r="L108" i="63" s="1"/>
  <c r="I108" i="63"/>
  <c r="G108" i="63"/>
  <c r="K107" i="63"/>
  <c r="L107" i="63" s="1"/>
  <c r="J107" i="63"/>
  <c r="I107" i="63"/>
  <c r="G107" i="63"/>
  <c r="K106" i="63"/>
  <c r="J106" i="63"/>
  <c r="I106" i="63"/>
  <c r="G106" i="63"/>
  <c r="K105" i="63"/>
  <c r="J105" i="63"/>
  <c r="I105" i="63"/>
  <c r="G105" i="63"/>
  <c r="K104" i="63"/>
  <c r="J104" i="63"/>
  <c r="I104" i="63"/>
  <c r="G104" i="63"/>
  <c r="K102" i="63"/>
  <c r="J102" i="63"/>
  <c r="I102" i="63"/>
  <c r="G102" i="63"/>
  <c r="K101" i="63"/>
  <c r="J101" i="63"/>
  <c r="I101" i="63"/>
  <c r="G101" i="63"/>
  <c r="K100" i="63"/>
  <c r="J100" i="63"/>
  <c r="I100" i="63"/>
  <c r="G100" i="63"/>
  <c r="K99" i="63"/>
  <c r="J99" i="63"/>
  <c r="I99" i="63"/>
  <c r="G99" i="63"/>
  <c r="K98" i="63"/>
  <c r="J98" i="63"/>
  <c r="I98" i="63"/>
  <c r="G98" i="63"/>
  <c r="K96" i="63"/>
  <c r="J96" i="63"/>
  <c r="I96" i="63"/>
  <c r="G96" i="63"/>
  <c r="K95" i="63"/>
  <c r="L95" i="63" s="1"/>
  <c r="J95" i="63"/>
  <c r="I95" i="63"/>
  <c r="G95" i="63"/>
  <c r="K94" i="63"/>
  <c r="J94" i="63"/>
  <c r="I94" i="63"/>
  <c r="G94" i="63"/>
  <c r="K93" i="63"/>
  <c r="J93" i="63"/>
  <c r="I93" i="63"/>
  <c r="G93" i="63"/>
  <c r="K92" i="63"/>
  <c r="J92" i="63"/>
  <c r="I92" i="63"/>
  <c r="G92" i="63"/>
  <c r="L89" i="63"/>
  <c r="K89" i="63"/>
  <c r="L90" i="63" s="1"/>
  <c r="J89" i="63"/>
  <c r="I89" i="63"/>
  <c r="H89" i="63"/>
  <c r="G89" i="63"/>
  <c r="F89" i="63"/>
  <c r="E89" i="63"/>
  <c r="D89" i="63"/>
  <c r="C89" i="63"/>
  <c r="M79" i="63"/>
  <c r="L79" i="63"/>
  <c r="K79" i="63"/>
  <c r="G79" i="63"/>
  <c r="M78" i="63"/>
  <c r="L78" i="63"/>
  <c r="K78" i="63"/>
  <c r="G78" i="63"/>
  <c r="M77" i="63"/>
  <c r="N77" i="63" s="1"/>
  <c r="L77" i="63"/>
  <c r="K77" i="63"/>
  <c r="G77" i="63"/>
  <c r="M76" i="63"/>
  <c r="L76" i="63"/>
  <c r="K76" i="63"/>
  <c r="G76" i="63"/>
  <c r="M75" i="63"/>
  <c r="L75" i="63"/>
  <c r="K75" i="63"/>
  <c r="G75" i="63"/>
  <c r="M73" i="63"/>
  <c r="L73" i="63"/>
  <c r="K73" i="63"/>
  <c r="G73" i="63"/>
  <c r="M72" i="63"/>
  <c r="L72" i="63"/>
  <c r="K72" i="63"/>
  <c r="G72" i="63"/>
  <c r="M71" i="63"/>
  <c r="L71" i="63"/>
  <c r="K71" i="63"/>
  <c r="G71" i="63"/>
  <c r="M70" i="63"/>
  <c r="L70" i="63"/>
  <c r="K70" i="63"/>
  <c r="G70" i="63"/>
  <c r="M69" i="63"/>
  <c r="L69" i="63"/>
  <c r="K69" i="63"/>
  <c r="G69" i="63"/>
  <c r="M67" i="63"/>
  <c r="L67" i="63"/>
  <c r="K67" i="63"/>
  <c r="G67" i="63"/>
  <c r="M66" i="63"/>
  <c r="N66" i="63" s="1"/>
  <c r="L66" i="63"/>
  <c r="K66" i="63"/>
  <c r="G66" i="63"/>
  <c r="M65" i="63"/>
  <c r="L65" i="63"/>
  <c r="K65" i="63"/>
  <c r="G65" i="63"/>
  <c r="M64" i="63"/>
  <c r="L64" i="63"/>
  <c r="K64" i="63"/>
  <c r="G64" i="63"/>
  <c r="M63" i="63"/>
  <c r="L63" i="63"/>
  <c r="K63" i="63"/>
  <c r="G63" i="63"/>
  <c r="M61" i="63"/>
  <c r="L61" i="63"/>
  <c r="K61" i="63"/>
  <c r="G61" i="63"/>
  <c r="M60" i="63"/>
  <c r="L60" i="63"/>
  <c r="K60" i="63"/>
  <c r="G60" i="63"/>
  <c r="N59" i="63"/>
  <c r="M59" i="63"/>
  <c r="L59" i="63"/>
  <c r="K59" i="63"/>
  <c r="G59" i="63"/>
  <c r="M58" i="63"/>
  <c r="L58" i="63"/>
  <c r="K58" i="63"/>
  <c r="G58" i="63"/>
  <c r="M57" i="63"/>
  <c r="L57" i="63"/>
  <c r="K57" i="63"/>
  <c r="G57" i="63"/>
  <c r="M55" i="63"/>
  <c r="L55" i="63"/>
  <c r="K55" i="63"/>
  <c r="G55" i="63"/>
  <c r="M54" i="63"/>
  <c r="L54" i="63"/>
  <c r="K54" i="63"/>
  <c r="G54" i="63"/>
  <c r="M53" i="63"/>
  <c r="L53" i="63"/>
  <c r="K53" i="63"/>
  <c r="G53" i="63"/>
  <c r="M52" i="63"/>
  <c r="L52" i="63"/>
  <c r="K52" i="63"/>
  <c r="G52" i="63"/>
  <c r="M51" i="63"/>
  <c r="L51" i="63"/>
  <c r="K51" i="63"/>
  <c r="C65" i="20" s="1"/>
  <c r="G51" i="63"/>
  <c r="M49" i="63"/>
  <c r="L49" i="63"/>
  <c r="K49" i="63"/>
  <c r="G49" i="63"/>
  <c r="M48" i="63"/>
  <c r="L48" i="63"/>
  <c r="K48" i="63"/>
  <c r="G48" i="63"/>
  <c r="M47" i="63"/>
  <c r="N47" i="63" s="1"/>
  <c r="L47" i="63"/>
  <c r="K47" i="63"/>
  <c r="G47" i="63"/>
  <c r="M46" i="63"/>
  <c r="L46" i="63"/>
  <c r="K46" i="63"/>
  <c r="G46" i="63"/>
  <c r="M45" i="63"/>
  <c r="L45" i="63"/>
  <c r="K45" i="63"/>
  <c r="G45" i="63"/>
  <c r="M43" i="63"/>
  <c r="L43" i="63"/>
  <c r="K43" i="63"/>
  <c r="G43" i="63"/>
  <c r="M42" i="63"/>
  <c r="L42" i="63"/>
  <c r="K42" i="63"/>
  <c r="G42" i="63"/>
  <c r="M41" i="63"/>
  <c r="L41" i="63"/>
  <c r="K41" i="63"/>
  <c r="G41" i="63"/>
  <c r="M40" i="63"/>
  <c r="L40" i="63"/>
  <c r="K40" i="63"/>
  <c r="G40" i="63"/>
  <c r="M39" i="63"/>
  <c r="L39" i="63"/>
  <c r="K39" i="63"/>
  <c r="G39" i="63"/>
  <c r="M37" i="63"/>
  <c r="L37" i="63"/>
  <c r="K37" i="63"/>
  <c r="G37" i="63"/>
  <c r="M36" i="63"/>
  <c r="L36" i="63"/>
  <c r="K36" i="63"/>
  <c r="G36" i="63"/>
  <c r="M35" i="63"/>
  <c r="L35" i="63"/>
  <c r="K35" i="63"/>
  <c r="G35" i="63"/>
  <c r="M34" i="63"/>
  <c r="L34" i="63"/>
  <c r="K34" i="63"/>
  <c r="G34" i="63"/>
  <c r="M33" i="63"/>
  <c r="L33" i="63"/>
  <c r="K33" i="63"/>
  <c r="G33" i="63"/>
  <c r="M31" i="63"/>
  <c r="L31" i="63"/>
  <c r="K31" i="63"/>
  <c r="G31" i="63"/>
  <c r="M30" i="63"/>
  <c r="L30" i="63"/>
  <c r="K30" i="63"/>
  <c r="G30" i="63"/>
  <c r="M29" i="63"/>
  <c r="L29" i="63"/>
  <c r="K29" i="63"/>
  <c r="G29" i="63"/>
  <c r="M28" i="63"/>
  <c r="N28" i="63" s="1"/>
  <c r="L28" i="63"/>
  <c r="K28" i="63"/>
  <c r="G28" i="63"/>
  <c r="M27" i="63"/>
  <c r="L27" i="63"/>
  <c r="K27" i="63"/>
  <c r="G27" i="63"/>
  <c r="M25" i="63"/>
  <c r="L25" i="63"/>
  <c r="K25" i="63"/>
  <c r="G25" i="63"/>
  <c r="M24" i="63"/>
  <c r="L24" i="63"/>
  <c r="K24" i="63"/>
  <c r="G24" i="63"/>
  <c r="M23" i="63"/>
  <c r="L23" i="63"/>
  <c r="K23" i="63"/>
  <c r="G23" i="63"/>
  <c r="M22" i="63"/>
  <c r="N22" i="63" s="1"/>
  <c r="L22" i="63"/>
  <c r="K22" i="63"/>
  <c r="G22" i="63"/>
  <c r="M21" i="63"/>
  <c r="L21" i="63"/>
  <c r="K21" i="63"/>
  <c r="C61" i="20" s="1"/>
  <c r="G21" i="63"/>
  <c r="N18" i="63"/>
  <c r="M18" i="63"/>
  <c r="N19" i="63" s="1"/>
  <c r="L18" i="63"/>
  <c r="K18" i="63"/>
  <c r="J18" i="63"/>
  <c r="I18" i="63"/>
  <c r="H18" i="63"/>
  <c r="G18" i="63"/>
  <c r="F18" i="63"/>
  <c r="E18" i="63"/>
  <c r="D18" i="63"/>
  <c r="C18" i="63"/>
  <c r="H17" i="63"/>
  <c r="K150" i="62"/>
  <c r="J150" i="62"/>
  <c r="I150" i="62"/>
  <c r="G150" i="62"/>
  <c r="K149" i="62"/>
  <c r="J149" i="62"/>
  <c r="I149" i="62"/>
  <c r="G149" i="62"/>
  <c r="K148" i="62"/>
  <c r="L148" i="62" s="1"/>
  <c r="J148" i="62"/>
  <c r="I148" i="62"/>
  <c r="G148" i="62"/>
  <c r="K147" i="62"/>
  <c r="J147" i="62"/>
  <c r="I147" i="62"/>
  <c r="G147" i="62"/>
  <c r="K146" i="62"/>
  <c r="J146" i="62"/>
  <c r="I146" i="62"/>
  <c r="G146" i="62"/>
  <c r="K144" i="62"/>
  <c r="J144" i="62"/>
  <c r="I144" i="62"/>
  <c r="G144" i="62"/>
  <c r="K143" i="62"/>
  <c r="J143" i="62"/>
  <c r="L143" i="62" s="1"/>
  <c r="I143" i="62"/>
  <c r="G143" i="62"/>
  <c r="K142" i="62"/>
  <c r="J142" i="62"/>
  <c r="I142" i="62"/>
  <c r="G142" i="62"/>
  <c r="K141" i="62"/>
  <c r="J141" i="62"/>
  <c r="I141" i="62"/>
  <c r="G141" i="62"/>
  <c r="K140" i="62"/>
  <c r="J140" i="62"/>
  <c r="I140" i="62"/>
  <c r="G140" i="62"/>
  <c r="K138" i="62"/>
  <c r="J138" i="62"/>
  <c r="I138" i="62"/>
  <c r="G138" i="62"/>
  <c r="K137" i="62"/>
  <c r="J137" i="62"/>
  <c r="I137" i="62"/>
  <c r="G137" i="62"/>
  <c r="K136" i="62"/>
  <c r="J136" i="62"/>
  <c r="I136" i="62"/>
  <c r="G136" i="62"/>
  <c r="K135" i="62"/>
  <c r="J135" i="62"/>
  <c r="I135" i="62"/>
  <c r="G135" i="62"/>
  <c r="K134" i="62"/>
  <c r="J134" i="62"/>
  <c r="I134" i="62"/>
  <c r="G134" i="62"/>
  <c r="K132" i="62"/>
  <c r="J132" i="62"/>
  <c r="I132" i="62"/>
  <c r="G132" i="62"/>
  <c r="K131" i="62"/>
  <c r="J131" i="62"/>
  <c r="I131" i="62"/>
  <c r="G131" i="62"/>
  <c r="L130" i="62"/>
  <c r="K130" i="62"/>
  <c r="J130" i="62"/>
  <c r="I130" i="62"/>
  <c r="G130" i="62"/>
  <c r="K129" i="62"/>
  <c r="J129" i="62"/>
  <c r="I129" i="62"/>
  <c r="G129" i="62"/>
  <c r="K128" i="62"/>
  <c r="J128" i="62"/>
  <c r="I128" i="62"/>
  <c r="G128" i="62"/>
  <c r="K126" i="62"/>
  <c r="J126" i="62"/>
  <c r="I126" i="62"/>
  <c r="G126" i="62"/>
  <c r="K125" i="62"/>
  <c r="J125" i="62"/>
  <c r="I125" i="62"/>
  <c r="G125" i="62"/>
  <c r="K124" i="62"/>
  <c r="J124" i="62"/>
  <c r="I124" i="62"/>
  <c r="G124" i="62"/>
  <c r="K123" i="62"/>
  <c r="J123" i="62"/>
  <c r="I123" i="62"/>
  <c r="G123" i="62"/>
  <c r="K122" i="62"/>
  <c r="J122" i="62"/>
  <c r="I122" i="62"/>
  <c r="G122" i="62"/>
  <c r="K120" i="62"/>
  <c r="L120" i="62" s="1"/>
  <c r="J120" i="62"/>
  <c r="I120" i="62"/>
  <c r="G120" i="62"/>
  <c r="K119" i="62"/>
  <c r="J119" i="62"/>
  <c r="I119" i="62"/>
  <c r="G119" i="62"/>
  <c r="K118" i="62"/>
  <c r="J118" i="62"/>
  <c r="I118" i="62"/>
  <c r="G118" i="62"/>
  <c r="K117" i="62"/>
  <c r="J117" i="62"/>
  <c r="I117" i="62"/>
  <c r="G117" i="62"/>
  <c r="K116" i="62"/>
  <c r="J116" i="62"/>
  <c r="I116" i="62"/>
  <c r="G116" i="62"/>
  <c r="K114" i="62"/>
  <c r="J114" i="62"/>
  <c r="I114" i="62"/>
  <c r="G114" i="62"/>
  <c r="K113" i="62"/>
  <c r="J113" i="62"/>
  <c r="L113" i="62" s="1"/>
  <c r="I113" i="62"/>
  <c r="G113" i="62"/>
  <c r="K112" i="62"/>
  <c r="J112" i="62"/>
  <c r="I112" i="62"/>
  <c r="G112" i="62"/>
  <c r="K111" i="62"/>
  <c r="J111" i="62"/>
  <c r="I111" i="62"/>
  <c r="G111" i="62"/>
  <c r="K110" i="62"/>
  <c r="L110" i="62" s="1"/>
  <c r="J110" i="62"/>
  <c r="I110" i="62"/>
  <c r="G110" i="62"/>
  <c r="K108" i="62"/>
  <c r="J108" i="62"/>
  <c r="I108" i="62"/>
  <c r="G108" i="62"/>
  <c r="K107" i="62"/>
  <c r="J107" i="62"/>
  <c r="I107" i="62"/>
  <c r="G107" i="62"/>
  <c r="K106" i="62"/>
  <c r="J106" i="62"/>
  <c r="I106" i="62"/>
  <c r="G106" i="62"/>
  <c r="K105" i="62"/>
  <c r="L105" i="62" s="1"/>
  <c r="J105" i="62"/>
  <c r="I105" i="62"/>
  <c r="G105" i="62"/>
  <c r="K104" i="62"/>
  <c r="J104" i="62"/>
  <c r="I104" i="62"/>
  <c r="G104" i="62"/>
  <c r="K102" i="62"/>
  <c r="J102" i="62"/>
  <c r="I102" i="62"/>
  <c r="G102" i="62"/>
  <c r="K101" i="62"/>
  <c r="J101" i="62"/>
  <c r="I101" i="62"/>
  <c r="G101" i="62"/>
  <c r="K100" i="62"/>
  <c r="J100" i="62"/>
  <c r="I100" i="62"/>
  <c r="G100" i="62"/>
  <c r="K99" i="62"/>
  <c r="J99" i="62"/>
  <c r="L99" i="62" s="1"/>
  <c r="I99" i="62"/>
  <c r="G99" i="62"/>
  <c r="K98" i="62"/>
  <c r="J98" i="62"/>
  <c r="I98" i="62"/>
  <c r="G98" i="62"/>
  <c r="K96" i="62"/>
  <c r="J96" i="62"/>
  <c r="I96" i="62"/>
  <c r="G96" i="62"/>
  <c r="K95" i="62"/>
  <c r="J95" i="62"/>
  <c r="I95" i="62"/>
  <c r="G95" i="62"/>
  <c r="K94" i="62"/>
  <c r="L94" i="62" s="1"/>
  <c r="J94" i="62"/>
  <c r="I94" i="62"/>
  <c r="G94" i="62"/>
  <c r="K93" i="62"/>
  <c r="J93" i="62"/>
  <c r="I93" i="62"/>
  <c r="G93" i="62"/>
  <c r="K92" i="62"/>
  <c r="J92" i="62"/>
  <c r="I92" i="62"/>
  <c r="G92" i="62"/>
  <c r="L89" i="62"/>
  <c r="K89" i="62"/>
  <c r="L90" i="62" s="1"/>
  <c r="J89" i="62"/>
  <c r="I89" i="62"/>
  <c r="H89" i="62"/>
  <c r="K90" i="62" s="1"/>
  <c r="G89" i="62"/>
  <c r="F89" i="62"/>
  <c r="G90" i="62" s="1"/>
  <c r="E89" i="62"/>
  <c r="D89" i="62"/>
  <c r="C89" i="62"/>
  <c r="H88" i="62"/>
  <c r="M79" i="62"/>
  <c r="L79" i="62"/>
  <c r="N79" i="62" s="1"/>
  <c r="K79" i="62"/>
  <c r="G79" i="62"/>
  <c r="M78" i="62"/>
  <c r="L78" i="62"/>
  <c r="K78" i="62"/>
  <c r="G78" i="62"/>
  <c r="M77" i="62"/>
  <c r="L77" i="62"/>
  <c r="K77" i="62"/>
  <c r="G77" i="62"/>
  <c r="M76" i="62"/>
  <c r="L76" i="62"/>
  <c r="K76" i="62"/>
  <c r="G76" i="62"/>
  <c r="M75" i="62"/>
  <c r="L75" i="62"/>
  <c r="K75" i="62"/>
  <c r="G75" i="62"/>
  <c r="M73" i="62"/>
  <c r="N73" i="62" s="1"/>
  <c r="L73" i="62"/>
  <c r="K73" i="62"/>
  <c r="G73" i="62"/>
  <c r="M72" i="62"/>
  <c r="L72" i="62"/>
  <c r="K72" i="62"/>
  <c r="G72" i="62"/>
  <c r="M71" i="62"/>
  <c r="L71" i="62"/>
  <c r="K71" i="62"/>
  <c r="G71" i="62"/>
  <c r="M70" i="62"/>
  <c r="N70" i="62" s="1"/>
  <c r="L70" i="62"/>
  <c r="K70" i="62"/>
  <c r="G70" i="62"/>
  <c r="M69" i="62"/>
  <c r="L69" i="62"/>
  <c r="K69" i="62"/>
  <c r="G69" i="62"/>
  <c r="M67" i="62"/>
  <c r="L67" i="62"/>
  <c r="K67" i="62"/>
  <c r="G67" i="62"/>
  <c r="M66" i="62"/>
  <c r="L66" i="62"/>
  <c r="K66" i="62"/>
  <c r="G66" i="62"/>
  <c r="M65" i="62"/>
  <c r="L65" i="62"/>
  <c r="K65" i="62"/>
  <c r="G65" i="62"/>
  <c r="M64" i="62"/>
  <c r="N64" i="62" s="1"/>
  <c r="L64" i="62"/>
  <c r="K64" i="62"/>
  <c r="G64" i="62"/>
  <c r="M63" i="62"/>
  <c r="L63" i="62"/>
  <c r="K63" i="62"/>
  <c r="G63" i="62"/>
  <c r="M61" i="62"/>
  <c r="L61" i="62"/>
  <c r="K61" i="62"/>
  <c r="G61" i="62"/>
  <c r="M60" i="62"/>
  <c r="L60" i="62"/>
  <c r="K60" i="62"/>
  <c r="G60" i="62"/>
  <c r="M59" i="62"/>
  <c r="L59" i="62"/>
  <c r="K59" i="62"/>
  <c r="G59" i="62"/>
  <c r="M58" i="62"/>
  <c r="L58" i="62"/>
  <c r="K58" i="62"/>
  <c r="G58" i="62"/>
  <c r="M57" i="62"/>
  <c r="L57" i="62"/>
  <c r="K57" i="62"/>
  <c r="G57" i="62"/>
  <c r="M55" i="62"/>
  <c r="L55" i="62"/>
  <c r="K55" i="62"/>
  <c r="G55" i="62"/>
  <c r="M54" i="62"/>
  <c r="L54" i="62"/>
  <c r="K54" i="62"/>
  <c r="G54" i="62"/>
  <c r="M53" i="62"/>
  <c r="N53" i="62" s="1"/>
  <c r="L53" i="62"/>
  <c r="D49" i="20" s="1"/>
  <c r="K53" i="62"/>
  <c r="C49" i="20" s="1"/>
  <c r="G53" i="62"/>
  <c r="M52" i="62"/>
  <c r="L52" i="62"/>
  <c r="K52" i="62"/>
  <c r="G52" i="62"/>
  <c r="M51" i="62"/>
  <c r="E48" i="20" s="1"/>
  <c r="L51" i="62"/>
  <c r="K51" i="62"/>
  <c r="G51" i="62"/>
  <c r="M49" i="62"/>
  <c r="L49" i="62"/>
  <c r="K49" i="62"/>
  <c r="G49" i="62"/>
  <c r="M48" i="62"/>
  <c r="L48" i="62"/>
  <c r="K48" i="62"/>
  <c r="G48" i="62"/>
  <c r="M47" i="62"/>
  <c r="L47" i="62"/>
  <c r="K47" i="62"/>
  <c r="G47" i="62"/>
  <c r="M46" i="62"/>
  <c r="L46" i="62"/>
  <c r="K46" i="62"/>
  <c r="G46" i="62"/>
  <c r="M45" i="62"/>
  <c r="L45" i="62"/>
  <c r="K45" i="62"/>
  <c r="G45" i="62"/>
  <c r="M43" i="62"/>
  <c r="N43" i="62" s="1"/>
  <c r="L43" i="62"/>
  <c r="K43" i="62"/>
  <c r="G43" i="62"/>
  <c r="M42" i="62"/>
  <c r="L42" i="62"/>
  <c r="K42" i="62"/>
  <c r="G42" i="62"/>
  <c r="M41" i="62"/>
  <c r="L41" i="62"/>
  <c r="K41" i="62"/>
  <c r="G41" i="62"/>
  <c r="M40" i="62"/>
  <c r="L40" i="62"/>
  <c r="K40" i="62"/>
  <c r="G40" i="62"/>
  <c r="M39" i="62"/>
  <c r="L39" i="62"/>
  <c r="K39" i="62"/>
  <c r="G39" i="62"/>
  <c r="M37" i="62"/>
  <c r="L37" i="62"/>
  <c r="K37" i="62"/>
  <c r="G37" i="62"/>
  <c r="M36" i="62"/>
  <c r="L36" i="62"/>
  <c r="K36" i="62"/>
  <c r="G36" i="62"/>
  <c r="M35" i="62"/>
  <c r="L35" i="62"/>
  <c r="K35" i="62"/>
  <c r="G35" i="62"/>
  <c r="M34" i="62"/>
  <c r="L34" i="62"/>
  <c r="K34" i="62"/>
  <c r="G34" i="62"/>
  <c r="M33" i="62"/>
  <c r="L33" i="62"/>
  <c r="K33" i="62"/>
  <c r="G33" i="62"/>
  <c r="M31" i="62"/>
  <c r="L31" i="62"/>
  <c r="K31" i="62"/>
  <c r="G31" i="62"/>
  <c r="M30" i="62"/>
  <c r="L30" i="62"/>
  <c r="K30" i="62"/>
  <c r="G30" i="62"/>
  <c r="M29" i="62"/>
  <c r="L29" i="62"/>
  <c r="K29" i="62"/>
  <c r="G29" i="62"/>
  <c r="M28" i="62"/>
  <c r="L28" i="62"/>
  <c r="K28" i="62"/>
  <c r="G28" i="62"/>
  <c r="M27" i="62"/>
  <c r="L27" i="62"/>
  <c r="K27" i="62"/>
  <c r="G27" i="62"/>
  <c r="M25" i="62"/>
  <c r="L25" i="62"/>
  <c r="K25" i="62"/>
  <c r="G25" i="62"/>
  <c r="M24" i="62"/>
  <c r="L24" i="62"/>
  <c r="K24" i="62"/>
  <c r="G24" i="62"/>
  <c r="M23" i="62"/>
  <c r="L23" i="62"/>
  <c r="K23" i="62"/>
  <c r="G23" i="62"/>
  <c r="M22" i="62"/>
  <c r="L22" i="62"/>
  <c r="K22" i="62"/>
  <c r="G22" i="62"/>
  <c r="M21" i="62"/>
  <c r="L21" i="62"/>
  <c r="K21" i="62"/>
  <c r="G21" i="62"/>
  <c r="N18" i="62"/>
  <c r="M18" i="62"/>
  <c r="L18" i="62"/>
  <c r="K18" i="62"/>
  <c r="J18" i="62"/>
  <c r="I18" i="62"/>
  <c r="H18" i="62"/>
  <c r="K19" i="62" s="1"/>
  <c r="G18" i="62"/>
  <c r="F18" i="62"/>
  <c r="M19" i="62" s="1"/>
  <c r="E18" i="62"/>
  <c r="L19" i="62" s="1"/>
  <c r="D18" i="62"/>
  <c r="C18" i="62"/>
  <c r="K150" i="61"/>
  <c r="H150" i="61"/>
  <c r="K149" i="61"/>
  <c r="H149" i="61"/>
  <c r="K148" i="61"/>
  <c r="H148" i="61"/>
  <c r="K147" i="61"/>
  <c r="H147" i="61"/>
  <c r="K146" i="61"/>
  <c r="H146" i="61"/>
  <c r="K144" i="61"/>
  <c r="H144" i="61"/>
  <c r="K143" i="61"/>
  <c r="H143" i="61"/>
  <c r="K142" i="61"/>
  <c r="H142" i="61"/>
  <c r="K141" i="61"/>
  <c r="H141" i="61"/>
  <c r="K140" i="61"/>
  <c r="H140" i="61"/>
  <c r="K138" i="61"/>
  <c r="H138" i="61"/>
  <c r="K137" i="61"/>
  <c r="H137" i="61"/>
  <c r="K136" i="61"/>
  <c r="H136" i="61"/>
  <c r="K135" i="61"/>
  <c r="H135" i="61"/>
  <c r="K134" i="61"/>
  <c r="H134" i="61"/>
  <c r="K132" i="61"/>
  <c r="H132" i="61"/>
  <c r="K131" i="61"/>
  <c r="H131" i="61"/>
  <c r="K130" i="61"/>
  <c r="H130" i="61"/>
  <c r="K129" i="61"/>
  <c r="H129" i="61"/>
  <c r="K128" i="61"/>
  <c r="H128" i="61"/>
  <c r="K126" i="61"/>
  <c r="H126" i="61"/>
  <c r="K125" i="61"/>
  <c r="H125" i="61"/>
  <c r="K124" i="61"/>
  <c r="H124" i="61"/>
  <c r="K123" i="61"/>
  <c r="H123" i="61"/>
  <c r="K122" i="61"/>
  <c r="H122" i="61"/>
  <c r="K120" i="61"/>
  <c r="H120" i="61"/>
  <c r="K119" i="61"/>
  <c r="H119" i="61"/>
  <c r="K118" i="61"/>
  <c r="H118" i="61"/>
  <c r="K117" i="61"/>
  <c r="H117" i="61"/>
  <c r="K116" i="61"/>
  <c r="H116" i="61"/>
  <c r="K114" i="61"/>
  <c r="H114" i="61"/>
  <c r="K113" i="61"/>
  <c r="H113" i="61"/>
  <c r="K112" i="61"/>
  <c r="H112" i="61"/>
  <c r="K111" i="61"/>
  <c r="H111" i="61"/>
  <c r="K110" i="61"/>
  <c r="H110" i="61"/>
  <c r="K108" i="61"/>
  <c r="H108" i="61"/>
  <c r="K107" i="61"/>
  <c r="H107" i="61"/>
  <c r="K106" i="61"/>
  <c r="H106" i="61"/>
  <c r="K105" i="61"/>
  <c r="H105" i="61"/>
  <c r="K104" i="61"/>
  <c r="H104" i="61"/>
  <c r="K102" i="61"/>
  <c r="H102" i="61"/>
  <c r="K101" i="61"/>
  <c r="H101" i="61"/>
  <c r="K100" i="61"/>
  <c r="H100" i="61"/>
  <c r="K99" i="61"/>
  <c r="H99" i="61"/>
  <c r="K98" i="61"/>
  <c r="H98" i="61"/>
  <c r="K96" i="61"/>
  <c r="H96" i="61"/>
  <c r="K95" i="61"/>
  <c r="H95" i="61"/>
  <c r="K94" i="61"/>
  <c r="H94" i="61"/>
  <c r="K93" i="61"/>
  <c r="H93" i="61"/>
  <c r="K92" i="61"/>
  <c r="H92" i="61"/>
  <c r="J90" i="61"/>
  <c r="L89" i="61"/>
  <c r="K89" i="61"/>
  <c r="J89" i="61"/>
  <c r="L90" i="61" s="1"/>
  <c r="I89" i="61"/>
  <c r="H89" i="61"/>
  <c r="G89" i="61"/>
  <c r="F89" i="61"/>
  <c r="G90" i="61" s="1"/>
  <c r="E89" i="61"/>
  <c r="D89" i="61"/>
  <c r="E90" i="61" s="1"/>
  <c r="C89" i="61"/>
  <c r="I88" i="61"/>
  <c r="E88" i="61"/>
  <c r="D88" i="61"/>
  <c r="M79" i="61"/>
  <c r="H79" i="61"/>
  <c r="M78" i="61"/>
  <c r="H78" i="61"/>
  <c r="M77" i="61"/>
  <c r="H77" i="61"/>
  <c r="M76" i="61"/>
  <c r="H76" i="61"/>
  <c r="M75" i="61"/>
  <c r="H75" i="61"/>
  <c r="M73" i="61"/>
  <c r="H73" i="61"/>
  <c r="M72" i="61"/>
  <c r="H72" i="61"/>
  <c r="M71" i="61"/>
  <c r="H71" i="61"/>
  <c r="M70" i="61"/>
  <c r="H70" i="61"/>
  <c r="M69" i="61"/>
  <c r="E36" i="20" s="1"/>
  <c r="H69" i="61"/>
  <c r="M67" i="61"/>
  <c r="H67" i="61"/>
  <c r="M66" i="61"/>
  <c r="H66" i="61"/>
  <c r="M65" i="61"/>
  <c r="H65" i="61"/>
  <c r="M64" i="61"/>
  <c r="H64" i="61"/>
  <c r="M63" i="61"/>
  <c r="H63" i="61"/>
  <c r="M61" i="61"/>
  <c r="H61" i="61"/>
  <c r="M60" i="61"/>
  <c r="H60" i="61"/>
  <c r="M59" i="61"/>
  <c r="H59" i="61"/>
  <c r="M58" i="61"/>
  <c r="H58" i="61"/>
  <c r="M57" i="61"/>
  <c r="E34" i="20" s="1"/>
  <c r="H57" i="61"/>
  <c r="M55" i="61"/>
  <c r="H55" i="61"/>
  <c r="M54" i="61"/>
  <c r="H54" i="61"/>
  <c r="M53" i="61"/>
  <c r="H53" i="61"/>
  <c r="M52" i="61"/>
  <c r="H52" i="61"/>
  <c r="M51" i="61"/>
  <c r="H51" i="61"/>
  <c r="M49" i="61"/>
  <c r="H49" i="61"/>
  <c r="M48" i="61"/>
  <c r="H48" i="61"/>
  <c r="M47" i="61"/>
  <c r="H47" i="61"/>
  <c r="M46" i="61"/>
  <c r="H46" i="61"/>
  <c r="M45" i="61"/>
  <c r="E32" i="20" s="1"/>
  <c r="H45" i="61"/>
  <c r="M43" i="61"/>
  <c r="H43" i="61"/>
  <c r="M42" i="61"/>
  <c r="H42" i="61"/>
  <c r="M41" i="61"/>
  <c r="H41" i="61"/>
  <c r="M40" i="61"/>
  <c r="H40" i="61"/>
  <c r="M39" i="61"/>
  <c r="H39" i="61"/>
  <c r="M37" i="61"/>
  <c r="H37" i="61"/>
  <c r="M36" i="61"/>
  <c r="H36" i="61"/>
  <c r="M35" i="61"/>
  <c r="H35" i="61"/>
  <c r="M34" i="61"/>
  <c r="H34" i="61"/>
  <c r="M33" i="61"/>
  <c r="H33" i="61"/>
  <c r="M31" i="61"/>
  <c r="H31" i="61"/>
  <c r="M30" i="61"/>
  <c r="H30" i="61"/>
  <c r="M29" i="61"/>
  <c r="H29" i="61"/>
  <c r="M28" i="61"/>
  <c r="H28" i="61"/>
  <c r="M27" i="61"/>
  <c r="H27" i="61"/>
  <c r="M25" i="61"/>
  <c r="H25" i="61"/>
  <c r="M24" i="61"/>
  <c r="H24" i="61"/>
  <c r="M23" i="61"/>
  <c r="H23" i="61"/>
  <c r="M22" i="61"/>
  <c r="H22" i="61"/>
  <c r="M21" i="61"/>
  <c r="E31" i="20" s="1"/>
  <c r="H21" i="61"/>
  <c r="G19" i="61"/>
  <c r="N18" i="61"/>
  <c r="M18" i="61"/>
  <c r="L18" i="61"/>
  <c r="K18" i="61"/>
  <c r="J18" i="61"/>
  <c r="I18" i="61"/>
  <c r="H18" i="61"/>
  <c r="G18" i="61"/>
  <c r="F18" i="61"/>
  <c r="E18" i="61"/>
  <c r="D18" i="61"/>
  <c r="E19" i="61" s="1"/>
  <c r="C18" i="61"/>
  <c r="K17" i="61"/>
  <c r="J17" i="61"/>
  <c r="I17" i="61"/>
  <c r="E17" i="61"/>
  <c r="G28" i="20" s="1"/>
  <c r="D17" i="61"/>
  <c r="E55" i="61"/>
  <c r="AF22" i="24"/>
  <c r="AE22" i="24"/>
  <c r="AD22" i="24"/>
  <c r="AC22" i="24"/>
  <c r="AB22" i="24"/>
  <c r="AG22" i="24" s="1"/>
  <c r="AH22" i="24" s="1"/>
  <c r="AJ22" i="24" s="1"/>
  <c r="X22" i="24"/>
  <c r="W22" i="24"/>
  <c r="V22" i="24"/>
  <c r="U22" i="24"/>
  <c r="T22" i="24"/>
  <c r="Y22" i="24" s="1"/>
  <c r="Z22" i="24" s="1"/>
  <c r="Q22" i="24"/>
  <c r="P22" i="24"/>
  <c r="O22" i="24"/>
  <c r="L105" i="63" l="1"/>
  <c r="N67" i="63"/>
  <c r="N27" i="63"/>
  <c r="D66" i="20"/>
  <c r="J90" i="63"/>
  <c r="L141" i="63"/>
  <c r="N49" i="63"/>
  <c r="D65" i="20"/>
  <c r="E65" i="20"/>
  <c r="N57" i="63"/>
  <c r="K90" i="63"/>
  <c r="C66" i="20"/>
  <c r="I90" i="63"/>
  <c r="L100" i="63"/>
  <c r="L118" i="63"/>
  <c r="L130" i="63"/>
  <c r="L142" i="63"/>
  <c r="L148" i="63"/>
  <c r="N40" i="63"/>
  <c r="L129" i="63"/>
  <c r="L93" i="63"/>
  <c r="D64" i="20"/>
  <c r="L102" i="63"/>
  <c r="L132" i="63"/>
  <c r="L138" i="63"/>
  <c r="L144" i="63"/>
  <c r="L150" i="63"/>
  <c r="N25" i="63"/>
  <c r="M19" i="63"/>
  <c r="N23" i="63"/>
  <c r="F66" i="20"/>
  <c r="C64" i="20"/>
  <c r="G62" i="20"/>
  <c r="G66" i="20"/>
  <c r="N61" i="63"/>
  <c r="L19" i="63"/>
  <c r="N24" i="63"/>
  <c r="L98" i="63"/>
  <c r="L134" i="63"/>
  <c r="L140" i="63"/>
  <c r="L146" i="63"/>
  <c r="L147" i="63"/>
  <c r="D61" i="20"/>
  <c r="G61" i="20"/>
  <c r="N48" i="63"/>
  <c r="L104" i="62"/>
  <c r="F50" i="20"/>
  <c r="L95" i="62"/>
  <c r="N29" i="62"/>
  <c r="L149" i="62"/>
  <c r="L102" i="62"/>
  <c r="N72" i="62"/>
  <c r="G51" i="20"/>
  <c r="D46" i="20"/>
  <c r="D52" i="20" s="1"/>
  <c r="L93" i="62"/>
  <c r="L132" i="62"/>
  <c r="G19" i="62"/>
  <c r="N60" i="62"/>
  <c r="L144" i="62"/>
  <c r="C47" i="20"/>
  <c r="N27" i="62"/>
  <c r="N39" i="62"/>
  <c r="L123" i="62"/>
  <c r="N54" i="62"/>
  <c r="G50" i="20"/>
  <c r="D50" i="20"/>
  <c r="E47" i="20"/>
  <c r="D51" i="20"/>
  <c r="N63" i="62"/>
  <c r="N69" i="62"/>
  <c r="N41" i="62"/>
  <c r="L114" i="62"/>
  <c r="N76" i="62"/>
  <c r="N36" i="62"/>
  <c r="N19" i="62"/>
  <c r="G46" i="20"/>
  <c r="G52" i="20" s="1"/>
  <c r="C46" i="20"/>
  <c r="C52" i="20" s="1"/>
  <c r="C50" i="20"/>
  <c r="D47" i="20"/>
  <c r="J90" i="62"/>
  <c r="G49" i="20"/>
  <c r="L107" i="62"/>
  <c r="N24" i="62"/>
  <c r="N31" i="62"/>
  <c r="F51" i="20"/>
  <c r="N61" i="62"/>
  <c r="L146" i="62"/>
  <c r="C51" i="20"/>
  <c r="F49" i="20"/>
  <c r="N22" i="62"/>
  <c r="N34" i="62"/>
  <c r="E33" i="20"/>
  <c r="K90" i="61"/>
  <c r="L19" i="61"/>
  <c r="H90" i="61"/>
  <c r="H35" i="20"/>
  <c r="N19" i="61"/>
  <c r="H34" i="20"/>
  <c r="H36" i="20"/>
  <c r="F61" i="20"/>
  <c r="F62" i="20"/>
  <c r="L128" i="63"/>
  <c r="L92" i="63"/>
  <c r="L96" i="63"/>
  <c r="L99" i="63"/>
  <c r="L101" i="63"/>
  <c r="L111" i="63"/>
  <c r="L113" i="63"/>
  <c r="L116" i="63"/>
  <c r="L135" i="63"/>
  <c r="G64" i="20"/>
  <c r="H65" i="20"/>
  <c r="L136" i="63"/>
  <c r="F65" i="20"/>
  <c r="H61" i="20"/>
  <c r="L110" i="63"/>
  <c r="L112" i="63"/>
  <c r="L114" i="63"/>
  <c r="L117" i="63"/>
  <c r="L149" i="63"/>
  <c r="H62" i="20"/>
  <c r="L119" i="63"/>
  <c r="L124" i="63"/>
  <c r="L126" i="63"/>
  <c r="H63" i="20"/>
  <c r="L94" i="63"/>
  <c r="H64" i="20"/>
  <c r="L104" i="63"/>
  <c r="L106" i="63"/>
  <c r="G63" i="20"/>
  <c r="H66" i="20"/>
  <c r="L120" i="63"/>
  <c r="L123" i="63"/>
  <c r="L125" i="63"/>
  <c r="G65" i="20"/>
  <c r="G67" i="20" s="1"/>
  <c r="N29" i="63"/>
  <c r="N41" i="63"/>
  <c r="N43" i="63"/>
  <c r="N46" i="63"/>
  <c r="E64" i="20"/>
  <c r="E61" i="20"/>
  <c r="C62" i="20"/>
  <c r="N60" i="63"/>
  <c r="N63" i="63"/>
  <c r="N65" i="63"/>
  <c r="N21" i="63"/>
  <c r="D62" i="20"/>
  <c r="N79" i="63"/>
  <c r="N30" i="63"/>
  <c r="N37" i="63"/>
  <c r="N42" i="63"/>
  <c r="N45" i="63"/>
  <c r="N64" i="63"/>
  <c r="N69" i="63"/>
  <c r="N76" i="63"/>
  <c r="N78" i="63"/>
  <c r="N39" i="63"/>
  <c r="D63" i="20"/>
  <c r="E66" i="20"/>
  <c r="N33" i="63"/>
  <c r="N35" i="63"/>
  <c r="N51" i="63"/>
  <c r="N53" i="63"/>
  <c r="N55" i="63"/>
  <c r="N71" i="63"/>
  <c r="N73" i="63"/>
  <c r="C63" i="20"/>
  <c r="N58" i="63"/>
  <c r="E62" i="20"/>
  <c r="N31" i="63"/>
  <c r="N34" i="63"/>
  <c r="N36" i="63"/>
  <c r="N52" i="63"/>
  <c r="N54" i="63"/>
  <c r="N70" i="63"/>
  <c r="N72" i="63"/>
  <c r="N75" i="63"/>
  <c r="E63" i="20"/>
  <c r="F46" i="20"/>
  <c r="F52" i="20" s="1"/>
  <c r="L135" i="62"/>
  <c r="L140" i="62"/>
  <c r="L142" i="62"/>
  <c r="L92" i="62"/>
  <c r="L119" i="62"/>
  <c r="L101" i="62"/>
  <c r="L122" i="62"/>
  <c r="H49" i="20"/>
  <c r="L117" i="62"/>
  <c r="F47" i="20"/>
  <c r="L106" i="62"/>
  <c r="L111" i="62"/>
  <c r="G47" i="20"/>
  <c r="L118" i="62"/>
  <c r="L134" i="62"/>
  <c r="H47" i="20"/>
  <c r="L128" i="62"/>
  <c r="H51" i="20"/>
  <c r="L96" i="62"/>
  <c r="L112" i="62"/>
  <c r="L136" i="62"/>
  <c r="L138" i="62"/>
  <c r="G48" i="20"/>
  <c r="L125" i="62"/>
  <c r="L141" i="62"/>
  <c r="L108" i="62"/>
  <c r="H46" i="20"/>
  <c r="L137" i="62"/>
  <c r="L98" i="62"/>
  <c r="L100" i="62"/>
  <c r="L150" i="62"/>
  <c r="F48" i="20"/>
  <c r="H48" i="20"/>
  <c r="L124" i="62"/>
  <c r="L126" i="62"/>
  <c r="L129" i="62"/>
  <c r="L116" i="62"/>
  <c r="L131" i="62"/>
  <c r="L147" i="62"/>
  <c r="H50" i="20"/>
  <c r="N52" i="62"/>
  <c r="N66" i="62"/>
  <c r="E49" i="20"/>
  <c r="N78" i="62"/>
  <c r="N55" i="62"/>
  <c r="N58" i="62"/>
  <c r="N71" i="62"/>
  <c r="E50" i="20"/>
  <c r="E51" i="20"/>
  <c r="N65" i="62"/>
  <c r="N67" i="62"/>
  <c r="C48" i="20"/>
  <c r="N57" i="62"/>
  <c r="N59" i="62"/>
  <c r="D48" i="20"/>
  <c r="N51" i="62"/>
  <c r="N75" i="62"/>
  <c r="N77" i="62"/>
  <c r="N25" i="62"/>
  <c r="N33" i="62"/>
  <c r="N35" i="62"/>
  <c r="N42" i="62"/>
  <c r="N37" i="62"/>
  <c r="N40" i="62"/>
  <c r="N21" i="62"/>
  <c r="N23" i="62"/>
  <c r="N45" i="62"/>
  <c r="N47" i="62"/>
  <c r="N49" i="62"/>
  <c r="N28" i="62"/>
  <c r="N30" i="62"/>
  <c r="E46" i="20"/>
  <c r="N46" i="62"/>
  <c r="N48" i="62"/>
  <c r="H33" i="20"/>
  <c r="H31" i="20"/>
  <c r="H32" i="20"/>
  <c r="E35" i="20"/>
  <c r="J28" i="20"/>
  <c r="D28" i="20"/>
  <c r="D67" i="20"/>
  <c r="G55" i="61"/>
  <c r="L55" i="61"/>
  <c r="N55" i="61" s="1"/>
  <c r="E75" i="61"/>
  <c r="E22" i="61"/>
  <c r="E41" i="61"/>
  <c r="E51" i="61"/>
  <c r="E79" i="61"/>
  <c r="E31" i="61"/>
  <c r="E78" i="61"/>
  <c r="E73" i="61"/>
  <c r="E69" i="61"/>
  <c r="E64" i="61"/>
  <c r="E59" i="61"/>
  <c r="E54" i="61"/>
  <c r="E49" i="61"/>
  <c r="E45" i="61"/>
  <c r="E40" i="61"/>
  <c r="E35" i="61"/>
  <c r="E30" i="61"/>
  <c r="E25" i="61"/>
  <c r="E21" i="61"/>
  <c r="E149" i="61"/>
  <c r="E144" i="61"/>
  <c r="E140" i="61"/>
  <c r="E135" i="61"/>
  <c r="E130" i="61"/>
  <c r="E125" i="61"/>
  <c r="E120" i="61"/>
  <c r="E116" i="61"/>
  <c r="E111" i="61"/>
  <c r="E106" i="61"/>
  <c r="E101" i="61"/>
  <c r="E150" i="61"/>
  <c r="E146" i="61"/>
  <c r="E141" i="61"/>
  <c r="E136" i="61"/>
  <c r="E131" i="61"/>
  <c r="E126" i="61"/>
  <c r="E122" i="61"/>
  <c r="E117" i="61"/>
  <c r="E112" i="61"/>
  <c r="E107" i="61"/>
  <c r="E102" i="61"/>
  <c r="E98" i="61"/>
  <c r="E93" i="61"/>
  <c r="E76" i="61"/>
  <c r="E71" i="61"/>
  <c r="E66" i="61"/>
  <c r="E61" i="61"/>
  <c r="E57" i="61"/>
  <c r="E52" i="61"/>
  <c r="E47" i="61"/>
  <c r="E42" i="61"/>
  <c r="E37" i="61"/>
  <c r="E33" i="61"/>
  <c r="E28" i="61"/>
  <c r="E23" i="61"/>
  <c r="E147" i="61"/>
  <c r="E142" i="61"/>
  <c r="E137" i="61"/>
  <c r="E132" i="61"/>
  <c r="E128" i="61"/>
  <c r="E123" i="61"/>
  <c r="E118" i="61"/>
  <c r="E113" i="61"/>
  <c r="E108" i="61"/>
  <c r="E104" i="61"/>
  <c r="E99" i="61"/>
  <c r="E94" i="61"/>
  <c r="E77" i="61"/>
  <c r="E72" i="61"/>
  <c r="E67" i="61"/>
  <c r="E63" i="61"/>
  <c r="E58" i="61"/>
  <c r="E53" i="61"/>
  <c r="E48" i="61"/>
  <c r="E43" i="61"/>
  <c r="E39" i="61"/>
  <c r="E34" i="61"/>
  <c r="E29" i="61"/>
  <c r="E24" i="61"/>
  <c r="E92" i="61"/>
  <c r="E148" i="61"/>
  <c r="E143" i="61"/>
  <c r="E138" i="61"/>
  <c r="E134" i="61"/>
  <c r="E129" i="61"/>
  <c r="E124" i="61"/>
  <c r="E119" i="61"/>
  <c r="E114" i="61"/>
  <c r="E110" i="61"/>
  <c r="E105" i="61"/>
  <c r="E100" i="61"/>
  <c r="E95" i="61"/>
  <c r="E96" i="61"/>
  <c r="H19" i="61"/>
  <c r="M19" i="61"/>
  <c r="E27" i="61"/>
  <c r="E36" i="61"/>
  <c r="E46" i="61"/>
  <c r="E60" i="61"/>
  <c r="E65" i="61"/>
  <c r="E70" i="61"/>
  <c r="G90" i="63"/>
  <c r="I90" i="62"/>
  <c r="G19" i="63"/>
  <c r="K19" i="63"/>
  <c r="F67" i="20" l="1"/>
  <c r="C67" i="20"/>
  <c r="E52" i="20"/>
  <c r="H67" i="20"/>
  <c r="E67" i="20"/>
  <c r="H52" i="20"/>
  <c r="J143" i="61"/>
  <c r="L143" i="61" s="1"/>
  <c r="G143" i="61"/>
  <c r="L48" i="61"/>
  <c r="N48" i="61" s="1"/>
  <c r="G48" i="61"/>
  <c r="G99" i="61"/>
  <c r="J99" i="61"/>
  <c r="L99" i="61" s="1"/>
  <c r="J137" i="61"/>
  <c r="L137" i="61" s="1"/>
  <c r="G137" i="61"/>
  <c r="G47" i="61"/>
  <c r="L47" i="61"/>
  <c r="N47" i="61" s="1"/>
  <c r="J98" i="61"/>
  <c r="L98" i="61" s="1"/>
  <c r="G98" i="61"/>
  <c r="J136" i="61"/>
  <c r="L136" i="61" s="1"/>
  <c r="G136" i="61"/>
  <c r="G120" i="61"/>
  <c r="J120" i="61"/>
  <c r="L120" i="61" s="1"/>
  <c r="L25" i="61"/>
  <c r="N25" i="61" s="1"/>
  <c r="G25" i="61"/>
  <c r="L64" i="61"/>
  <c r="N64" i="61" s="1"/>
  <c r="G64" i="61"/>
  <c r="J110" i="61"/>
  <c r="L110" i="61" s="1"/>
  <c r="G110" i="61"/>
  <c r="L53" i="61"/>
  <c r="N53" i="61" s="1"/>
  <c r="G53" i="61"/>
  <c r="G104" i="61"/>
  <c r="J104" i="61"/>
  <c r="L104" i="61" s="1"/>
  <c r="J142" i="61"/>
  <c r="L142" i="61" s="1"/>
  <c r="G142" i="61"/>
  <c r="G52" i="61"/>
  <c r="L52" i="61"/>
  <c r="N52" i="61" s="1"/>
  <c r="J102" i="61"/>
  <c r="L102" i="61" s="1"/>
  <c r="G102" i="61"/>
  <c r="J141" i="61"/>
  <c r="L141" i="61" s="1"/>
  <c r="G141" i="61"/>
  <c r="G125" i="61"/>
  <c r="J125" i="61"/>
  <c r="L125" i="61" s="1"/>
  <c r="L30" i="61"/>
  <c r="N30" i="61" s="1"/>
  <c r="G30" i="61"/>
  <c r="L69" i="61"/>
  <c r="G69" i="61"/>
  <c r="G79" i="61"/>
  <c r="L79" i="61"/>
  <c r="N79" i="61" s="1"/>
  <c r="J114" i="61"/>
  <c r="L114" i="61" s="1"/>
  <c r="G114" i="61"/>
  <c r="G92" i="61"/>
  <c r="J92" i="61"/>
  <c r="L58" i="61"/>
  <c r="N58" i="61" s="1"/>
  <c r="G58" i="61"/>
  <c r="G108" i="61"/>
  <c r="J108" i="61"/>
  <c r="L108" i="61" s="1"/>
  <c r="J147" i="61"/>
  <c r="L147" i="61" s="1"/>
  <c r="G147" i="61"/>
  <c r="L57" i="61"/>
  <c r="G57" i="61"/>
  <c r="J107" i="61"/>
  <c r="L107" i="61" s="1"/>
  <c r="G107" i="61"/>
  <c r="J146" i="61"/>
  <c r="G146" i="61"/>
  <c r="G130" i="61"/>
  <c r="J130" i="61"/>
  <c r="L130" i="61" s="1"/>
  <c r="L35" i="61"/>
  <c r="N35" i="61" s="1"/>
  <c r="G35" i="61"/>
  <c r="L73" i="61"/>
  <c r="N73" i="61" s="1"/>
  <c r="G73" i="61"/>
  <c r="L51" i="61"/>
  <c r="G51" i="61"/>
  <c r="L65" i="61"/>
  <c r="N65" i="61" s="1"/>
  <c r="G65" i="61"/>
  <c r="L24" i="61"/>
  <c r="N24" i="61" s="1"/>
  <c r="G24" i="61"/>
  <c r="L63" i="61"/>
  <c r="N63" i="61" s="1"/>
  <c r="G63" i="61"/>
  <c r="J113" i="61"/>
  <c r="L113" i="61" s="1"/>
  <c r="G113" i="61"/>
  <c r="G23" i="61"/>
  <c r="L23" i="61"/>
  <c r="N23" i="61" s="1"/>
  <c r="G61" i="61"/>
  <c r="L61" i="61"/>
  <c r="N61" i="61" s="1"/>
  <c r="J112" i="61"/>
  <c r="L112" i="61" s="1"/>
  <c r="G112" i="61"/>
  <c r="J150" i="61"/>
  <c r="L150" i="61" s="1"/>
  <c r="G150" i="61"/>
  <c r="G135" i="61"/>
  <c r="J135" i="61"/>
  <c r="L135" i="61" s="1"/>
  <c r="L40" i="61"/>
  <c r="N40" i="61" s="1"/>
  <c r="G40" i="61"/>
  <c r="L78" i="61"/>
  <c r="N78" i="61" s="1"/>
  <c r="G78" i="61"/>
  <c r="L41" i="61"/>
  <c r="N41" i="61" s="1"/>
  <c r="G41" i="61"/>
  <c r="J148" i="61"/>
  <c r="L148" i="61" s="1"/>
  <c r="G148" i="61"/>
  <c r="J124" i="61"/>
  <c r="L124" i="61" s="1"/>
  <c r="G124" i="61"/>
  <c r="L29" i="61"/>
  <c r="N29" i="61" s="1"/>
  <c r="G29" i="61"/>
  <c r="L67" i="61"/>
  <c r="N67" i="61" s="1"/>
  <c r="G67" i="61"/>
  <c r="J118" i="61"/>
  <c r="L118" i="61" s="1"/>
  <c r="G118" i="61"/>
  <c r="G28" i="61"/>
  <c r="L28" i="61"/>
  <c r="N28" i="61" s="1"/>
  <c r="L66" i="61"/>
  <c r="N66" i="61" s="1"/>
  <c r="G66" i="61"/>
  <c r="J117" i="61"/>
  <c r="L117" i="61" s="1"/>
  <c r="G117" i="61"/>
  <c r="G101" i="61"/>
  <c r="J101" i="61"/>
  <c r="L101" i="61" s="1"/>
  <c r="G140" i="61"/>
  <c r="J140" i="61"/>
  <c r="L45" i="61"/>
  <c r="G45" i="61"/>
  <c r="L22" i="61"/>
  <c r="N22" i="61" s="1"/>
  <c r="G22" i="61"/>
  <c r="J105" i="61"/>
  <c r="L105" i="61" s="1"/>
  <c r="G105" i="61"/>
  <c r="G70" i="61"/>
  <c r="L70" i="61"/>
  <c r="N70" i="61" s="1"/>
  <c r="G60" i="61"/>
  <c r="L60" i="61"/>
  <c r="N60" i="61" s="1"/>
  <c r="G96" i="61"/>
  <c r="J96" i="61"/>
  <c r="L96" i="61" s="1"/>
  <c r="J129" i="61"/>
  <c r="L129" i="61" s="1"/>
  <c r="G129" i="61"/>
  <c r="L34" i="61"/>
  <c r="N34" i="61" s="1"/>
  <c r="G34" i="61"/>
  <c r="L72" i="61"/>
  <c r="N72" i="61" s="1"/>
  <c r="G72" i="61"/>
  <c r="J123" i="61"/>
  <c r="L123" i="61" s="1"/>
  <c r="G123" i="61"/>
  <c r="G33" i="61"/>
  <c r="L33" i="61"/>
  <c r="N33" i="61" s="1"/>
  <c r="G71" i="61"/>
  <c r="L71" i="61"/>
  <c r="N71" i="61" s="1"/>
  <c r="J122" i="61"/>
  <c r="G122" i="61"/>
  <c r="G106" i="61"/>
  <c r="J106" i="61"/>
  <c r="L106" i="61" s="1"/>
  <c r="G144" i="61"/>
  <c r="J144" i="61"/>
  <c r="L144" i="61" s="1"/>
  <c r="L49" i="61"/>
  <c r="N49" i="61" s="1"/>
  <c r="G49" i="61"/>
  <c r="G75" i="61"/>
  <c r="L75" i="61"/>
  <c r="J119" i="61"/>
  <c r="L119" i="61" s="1"/>
  <c r="G119" i="61"/>
  <c r="L46" i="61"/>
  <c r="N46" i="61" s="1"/>
  <c r="G46" i="61"/>
  <c r="J95" i="61"/>
  <c r="L95" i="61" s="1"/>
  <c r="G95" i="61"/>
  <c r="J134" i="61"/>
  <c r="L134" i="61" s="1"/>
  <c r="G134" i="61"/>
  <c r="L39" i="61"/>
  <c r="N39" i="61" s="1"/>
  <c r="G39" i="61"/>
  <c r="L77" i="61"/>
  <c r="N77" i="61" s="1"/>
  <c r="G77" i="61"/>
  <c r="J128" i="61"/>
  <c r="G128" i="61"/>
  <c r="G37" i="61"/>
  <c r="L37" i="61"/>
  <c r="N37" i="61" s="1"/>
  <c r="G76" i="61"/>
  <c r="L76" i="61"/>
  <c r="N76" i="61" s="1"/>
  <c r="J126" i="61"/>
  <c r="L126" i="61" s="1"/>
  <c r="G126" i="61"/>
  <c r="G111" i="61"/>
  <c r="J111" i="61"/>
  <c r="L111" i="61" s="1"/>
  <c r="G149" i="61"/>
  <c r="J149" i="61"/>
  <c r="L149" i="61" s="1"/>
  <c r="L54" i="61"/>
  <c r="N54" i="61" s="1"/>
  <c r="G54" i="61"/>
  <c r="L27" i="61"/>
  <c r="N27" i="61" s="1"/>
  <c r="G27" i="61"/>
  <c r="L36" i="61"/>
  <c r="N36" i="61" s="1"/>
  <c r="G36" i="61"/>
  <c r="J100" i="61"/>
  <c r="L100" i="61" s="1"/>
  <c r="G100" i="61"/>
  <c r="J138" i="61"/>
  <c r="L138" i="61" s="1"/>
  <c r="G138" i="61"/>
  <c r="L43" i="61"/>
  <c r="N43" i="61" s="1"/>
  <c r="G43" i="61"/>
  <c r="G94" i="61"/>
  <c r="J94" i="61"/>
  <c r="L94" i="61" s="1"/>
  <c r="J132" i="61"/>
  <c r="L132" i="61" s="1"/>
  <c r="G132" i="61"/>
  <c r="G42" i="61"/>
  <c r="L42" i="61"/>
  <c r="N42" i="61" s="1"/>
  <c r="J93" i="61"/>
  <c r="L93" i="61" s="1"/>
  <c r="G93" i="61"/>
  <c r="J131" i="61"/>
  <c r="L131" i="61" s="1"/>
  <c r="G131" i="61"/>
  <c r="G116" i="61"/>
  <c r="J116" i="61"/>
  <c r="L21" i="61"/>
  <c r="G21" i="61"/>
  <c r="L59" i="61"/>
  <c r="N59" i="61" s="1"/>
  <c r="G59" i="61"/>
  <c r="L31" i="61"/>
  <c r="N31" i="61" s="1"/>
  <c r="G31" i="61"/>
  <c r="L116" i="61" l="1"/>
  <c r="G32" i="20"/>
  <c r="N75" i="61"/>
  <c r="L122" i="61"/>
  <c r="G33" i="20"/>
  <c r="G35" i="20"/>
  <c r="N45" i="61"/>
  <c r="D32" i="20"/>
  <c r="N69" i="61"/>
  <c r="D36" i="20"/>
  <c r="L140" i="61"/>
  <c r="G36" i="20"/>
  <c r="L92" i="61"/>
  <c r="G31" i="20"/>
  <c r="N57" i="61"/>
  <c r="D34" i="20"/>
  <c r="L128" i="61"/>
  <c r="G34" i="20"/>
  <c r="N21" i="61"/>
  <c r="D31" i="20"/>
  <c r="G16" i="20" s="1"/>
  <c r="N51" i="61"/>
  <c r="D35" i="20"/>
  <c r="D33" i="20"/>
  <c r="L146" i="61"/>
  <c r="D43" i="20"/>
  <c r="H37" i="20" l="1"/>
  <c r="D37" i="20"/>
  <c r="E37" i="20"/>
  <c r="G37" i="20"/>
  <c r="K15" i="20"/>
  <c r="L15" i="20"/>
  <c r="W19" i="5" l="1"/>
  <c r="L13" i="20"/>
  <c r="J13" i="20"/>
  <c r="H13" i="20"/>
  <c r="K66" i="20" l="1"/>
  <c r="J66" i="20"/>
  <c r="H21" i="20"/>
  <c r="I66" i="20"/>
  <c r="I64" i="20" l="1"/>
  <c r="K63" i="20"/>
  <c r="I62" i="20"/>
  <c r="I65" i="20"/>
  <c r="J16" i="20"/>
  <c r="J18" i="20"/>
  <c r="K61" i="20"/>
  <c r="I61" i="20"/>
  <c r="J21" i="20"/>
  <c r="G21" i="20"/>
  <c r="J62" i="20"/>
  <c r="I21" i="20"/>
  <c r="J61" i="20"/>
  <c r="K62" i="20"/>
  <c r="K65" i="20"/>
  <c r="H17" i="20"/>
  <c r="H18" i="20" l="1"/>
  <c r="I67" i="20"/>
  <c r="J19" i="20"/>
  <c r="K64" i="20"/>
  <c r="J17" i="20"/>
  <c r="J63" i="20"/>
  <c r="H19" i="20"/>
  <c r="H20" i="20"/>
  <c r="J22" i="20"/>
  <c r="I63" i="20"/>
  <c r="I16" i="20"/>
  <c r="H16" i="20"/>
  <c r="J67" i="20"/>
  <c r="J20" i="20"/>
  <c r="J65" i="20"/>
  <c r="K67" i="20"/>
  <c r="J64" i="20"/>
  <c r="H22" i="20"/>
  <c r="K59" i="20" l="1"/>
  <c r="J59" i="20"/>
  <c r="I59" i="20"/>
  <c r="H59" i="20"/>
  <c r="G59" i="20"/>
  <c r="F59" i="20"/>
  <c r="E59" i="20"/>
  <c r="K60" i="20" s="1"/>
  <c r="D59" i="20"/>
  <c r="J60" i="20" s="1"/>
  <c r="C59" i="20"/>
  <c r="I60" i="20" s="1"/>
  <c r="K51" i="20"/>
  <c r="J51" i="20"/>
  <c r="K50" i="20"/>
  <c r="J50" i="20"/>
  <c r="I50" i="20"/>
  <c r="K49" i="20"/>
  <c r="J49" i="20"/>
  <c r="K48" i="20"/>
  <c r="I48" i="20"/>
  <c r="J47" i="20"/>
  <c r="I47" i="20"/>
  <c r="K52" i="20"/>
  <c r="J52" i="20"/>
  <c r="I52" i="20"/>
  <c r="K44" i="20"/>
  <c r="J44" i="20"/>
  <c r="I44" i="20"/>
  <c r="H44" i="20"/>
  <c r="G44" i="20"/>
  <c r="J45" i="20" s="1"/>
  <c r="F44" i="20"/>
  <c r="E44" i="20"/>
  <c r="K45" i="20" s="1"/>
  <c r="D44" i="20"/>
  <c r="C44" i="20"/>
  <c r="I45" i="20" l="1"/>
  <c r="J48" i="20"/>
  <c r="I49" i="20"/>
  <c r="K47" i="20"/>
  <c r="I51" i="20"/>
  <c r="I46" i="20"/>
  <c r="J46" i="20"/>
  <c r="K46" i="20"/>
  <c r="X15" i="5" l="1"/>
  <c r="S14" i="5" l="1"/>
  <c r="T14" i="5"/>
  <c r="U14" i="5"/>
  <c r="V14" i="5"/>
  <c r="W14" i="5"/>
  <c r="X14" i="5"/>
  <c r="S15" i="5"/>
  <c r="AA14" i="5"/>
  <c r="Z14" i="5"/>
  <c r="N13" i="5" l="1"/>
  <c r="K36" i="20" l="1"/>
  <c r="K32" i="20"/>
  <c r="K33" i="20"/>
  <c r="K35" i="20"/>
  <c r="K34" i="20"/>
  <c r="K31" i="20"/>
  <c r="K37" i="20" l="1"/>
  <c r="C9" i="62" l="1"/>
  <c r="C9" i="63"/>
  <c r="J16" i="5"/>
  <c r="K16" i="5" s="1"/>
  <c r="G16" i="5"/>
  <c r="K14" i="5"/>
  <c r="J14" i="5"/>
  <c r="I14" i="5"/>
  <c r="H14" i="5"/>
  <c r="G14" i="5"/>
  <c r="F14" i="5"/>
  <c r="E14" i="5"/>
  <c r="E13" i="5"/>
  <c r="J15" i="5" l="1"/>
  <c r="A39" i="21" l="1"/>
  <c r="A37" i="21"/>
  <c r="A22" i="21"/>
  <c r="A1" i="20"/>
  <c r="AF19" i="24"/>
  <c r="AD19" i="24"/>
  <c r="AC19" i="24"/>
  <c r="AB19" i="24"/>
  <c r="X19" i="24"/>
  <c r="V19" i="24"/>
  <c r="U19" i="24"/>
  <c r="T19" i="24"/>
  <c r="AH17" i="24"/>
  <c r="AG17" i="24"/>
  <c r="AA17" i="24"/>
  <c r="Z17" i="24"/>
  <c r="Y17" i="24"/>
  <c r="S17" i="24"/>
  <c r="R17" i="24"/>
  <c r="G20" i="20" l="1"/>
  <c r="G18" i="20"/>
  <c r="I17" i="20"/>
  <c r="G17" i="20"/>
  <c r="I19" i="20"/>
  <c r="G19" i="20"/>
  <c r="I18" i="20"/>
  <c r="I20" i="20"/>
  <c r="J36" i="20"/>
  <c r="AA16" i="24"/>
  <c r="S16" i="24"/>
  <c r="N16" i="24"/>
  <c r="E16" i="24"/>
  <c r="D8" i="24"/>
  <c r="J34" i="20" l="1"/>
  <c r="J32" i="20"/>
  <c r="J31" i="20"/>
  <c r="J35" i="20"/>
  <c r="G22" i="20"/>
  <c r="J33" i="20"/>
  <c r="I22" i="20"/>
  <c r="AF21" i="24"/>
  <c r="AF20" i="24"/>
  <c r="J37" i="20" l="1"/>
  <c r="X21" i="24"/>
  <c r="X20" i="24"/>
  <c r="Q14" i="5" l="1"/>
  <c r="K29" i="20" l="1"/>
  <c r="J29" i="20"/>
  <c r="H29" i="20"/>
  <c r="G29" i="20"/>
  <c r="E29" i="20"/>
  <c r="D29" i="20"/>
  <c r="C10" i="20"/>
  <c r="L14" i="20"/>
  <c r="K14" i="20"/>
  <c r="J14" i="20"/>
  <c r="I14" i="20"/>
  <c r="H14" i="20"/>
  <c r="G14" i="20"/>
  <c r="F14" i="20"/>
  <c r="E14" i="20"/>
  <c r="D14" i="20"/>
  <c r="C14" i="20"/>
  <c r="E15" i="20" s="1"/>
  <c r="R14" i="5"/>
  <c r="M19" i="5"/>
  <c r="P14" i="5"/>
  <c r="O14" i="5"/>
  <c r="N14" i="5"/>
  <c r="M14" i="5"/>
  <c r="L14" i="5"/>
  <c r="AH18" i="24"/>
  <c r="Z18" i="24"/>
  <c r="R15" i="5" l="1"/>
  <c r="J30" i="20"/>
  <c r="K30" i="20"/>
  <c r="V21" i="24"/>
  <c r="V20" i="24"/>
  <c r="U21" i="24"/>
  <c r="W21" i="24" s="1"/>
  <c r="U20" i="24"/>
  <c r="T21" i="24"/>
  <c r="T20" i="24"/>
  <c r="AD21" i="24" l="1"/>
  <c r="AD20" i="24"/>
  <c r="AB20" i="24"/>
  <c r="AB21" i="24"/>
  <c r="AC21" i="24"/>
  <c r="AE21" i="24" s="1"/>
  <c r="AC20" i="24"/>
  <c r="AE20" i="24" s="1"/>
  <c r="M15" i="5"/>
  <c r="AE18" i="24"/>
  <c r="AA18" i="24"/>
  <c r="W20" i="24"/>
  <c r="O21" i="24"/>
  <c r="P21" i="24" s="1"/>
  <c r="Q21" i="24" s="1"/>
  <c r="O20" i="24"/>
  <c r="P20" i="24" s="1"/>
  <c r="Q20" i="24" s="1"/>
  <c r="V18" i="24"/>
  <c r="U18" i="24"/>
  <c r="T18" i="24"/>
  <c r="AG20" i="24" l="1"/>
  <c r="AH20" i="24" s="1"/>
  <c r="AG21" i="24"/>
  <c r="AH21" i="24" s="1"/>
  <c r="Y20" i="24"/>
  <c r="Z20" i="24" s="1"/>
  <c r="Y21" i="24"/>
  <c r="Z21" i="24" s="1"/>
  <c r="AJ21" i="24" l="1"/>
  <c r="AJ20" i="24"/>
  <c r="AJ23" i="24" l="1"/>
  <c r="O19" i="5" l="1"/>
  <c r="K20" i="20" l="1"/>
  <c r="K19" i="20" l="1"/>
  <c r="K16" i="20"/>
  <c r="K18" i="20"/>
  <c r="K17" i="20"/>
  <c r="K22" i="20" l="1"/>
  <c r="K21" i="20"/>
  <c r="P19" i="5" l="1"/>
  <c r="R19" i="5" l="1"/>
  <c r="X19" i="5" s="1"/>
  <c r="C9" i="20" s="1"/>
  <c r="D15" i="20"/>
  <c r="AI18" i="24" l="1"/>
  <c r="AJ19" i="24" s="1"/>
  <c r="S18" i="24" l="1"/>
  <c r="W18" i="24"/>
  <c r="X18" i="24"/>
  <c r="Y18" i="24"/>
  <c r="N18" i="24"/>
  <c r="F18" i="24"/>
  <c r="G18" i="24"/>
  <c r="H18" i="24"/>
  <c r="I18" i="24"/>
  <c r="J18" i="24"/>
  <c r="K18" i="24"/>
  <c r="L18" i="24"/>
  <c r="M18" i="24"/>
  <c r="W19" i="24" l="1"/>
  <c r="Y19" i="24"/>
  <c r="L18" i="20" l="1"/>
  <c r="L21" i="20"/>
  <c r="D21" i="20" s="1"/>
  <c r="L19" i="20"/>
  <c r="D19" i="20" s="1"/>
  <c r="L17" i="20"/>
  <c r="L20" i="20"/>
  <c r="L16" i="20"/>
  <c r="D18" i="20" l="1"/>
  <c r="D16" i="20"/>
  <c r="D20" i="20"/>
  <c r="D17" i="20"/>
  <c r="AC18" i="24"/>
  <c r="AB18" i="24"/>
  <c r="A1" i="5" l="1"/>
  <c r="A1" i="24"/>
  <c r="A3" i="20" l="1"/>
  <c r="A2" i="20"/>
  <c r="C7" i="20" l="1"/>
  <c r="B12" i="20" s="1"/>
  <c r="B23" i="24"/>
  <c r="A23" i="24"/>
  <c r="A19" i="5" l="1"/>
  <c r="C23" i="24"/>
  <c r="B19" i="5"/>
  <c r="C19" i="5" s="1"/>
  <c r="C6" i="20"/>
  <c r="A4" i="5"/>
  <c r="A3" i="5"/>
  <c r="A2" i="5"/>
  <c r="AJ18" i="24"/>
  <c r="O15" i="5" s="1"/>
  <c r="AG18" i="24"/>
  <c r="AF18" i="24"/>
  <c r="AG19" i="24" s="1"/>
  <c r="AD18" i="24"/>
  <c r="AE19" i="24" s="1"/>
  <c r="R18" i="24"/>
  <c r="Q18" i="24"/>
  <c r="P18" i="24"/>
  <c r="Q19" i="24" s="1"/>
  <c r="O18" i="24"/>
  <c r="P19" i="24" s="1"/>
  <c r="E18" i="24"/>
  <c r="O19" i="24" s="1"/>
  <c r="AH19" i="24" l="1"/>
  <c r="Z19" i="24"/>
  <c r="AI19" i="24"/>
  <c r="F15" i="20"/>
  <c r="P15" i="5"/>
  <c r="L22" i="20" l="1"/>
  <c r="D22" i="20" s="1"/>
  <c r="E19" i="20" l="1"/>
  <c r="F19" i="20" s="1"/>
  <c r="E21" i="20"/>
  <c r="F21" i="20" s="1"/>
  <c r="E16" i="20"/>
  <c r="F16" i="20" s="1"/>
  <c r="E17" i="20"/>
  <c r="F17" i="20" s="1"/>
  <c r="E18" i="20"/>
  <c r="F18" i="20" s="1"/>
  <c r="E20" i="20"/>
  <c r="F20" i="20" s="1"/>
  <c r="E22" i="20"/>
  <c r="F22" i="20" s="1"/>
</calcChain>
</file>

<file path=xl/sharedStrings.xml><?xml version="1.0" encoding="utf-8"?>
<sst xmlns="http://schemas.openxmlformats.org/spreadsheetml/2006/main" count="927" uniqueCount="217">
  <si>
    <t>Use Instructions</t>
  </si>
  <si>
    <t xml:space="preserve">This BDS incentive regulation TRP is for carriers that: </t>
  </si>
  <si>
    <t xml:space="preserve">   - establish a PCI, API, SBIs, and upper SBI limits at the holding company level; and</t>
  </si>
  <si>
    <t xml:space="preserve">The individual study area TRP is for carriers that establish PCIs, APIs, SBIs, and upper SBI limits at the study area level.  </t>
  </si>
  <si>
    <t>Current entries are illustrative.  Use actual data and modify spacing as needed.  If there are fewer than three study areas in a holding company, first highlight that study area's data</t>
  </si>
  <si>
    <t>in the dashboard on the Holding Co TRP tab, press delete to clear the illustrative data, and then delete that entire study area tab.</t>
  </si>
  <si>
    <t>Enter data in cells marked 'Input' for each study area in each Study Area Input tab .  Output fields yield values based on formulas and input data.  Enter average monthly demand for</t>
  </si>
  <si>
    <t>monthly recurring rate elements over the entire base period and annual demand for non-recurring rate elements for the base period in the study area worksheets to calculate the</t>
  </si>
  <si>
    <t xml:space="preserve">revenues used in the price cap formulas.  These worksheets multiply monthly revenues  derived from monthly recurring rates and average monthly demand by 12 to obtain annual </t>
  </si>
  <si>
    <t>revenues.</t>
  </si>
  <si>
    <t xml:space="preserve">For study areas new to the holding company TRP, enter rates as of January 1, 2024 in the relevant cells in the study area worksheet.  This worksheet adjusts these rates by </t>
  </si>
  <si>
    <t xml:space="preserve">applying the category relationships unfreeze and net contributor/net recipient factors, as applicable.  Only carriers in NECA's Traffic Sensitive pool in TP1920 have a net </t>
  </si>
  <si>
    <t xml:space="preserve">contributor/net recipient factor.  Other carriers enter 1.0000 as the net contributor/net recipient factor in the relevant cell of this worksheet.  Carriers  that did not </t>
  </si>
  <si>
    <r>
      <t xml:space="preserve">unfreeze their category relationships </t>
    </r>
    <r>
      <rPr>
        <sz val="11"/>
        <rFont val="Calibri"/>
        <family val="2"/>
        <scheme val="minor"/>
      </rPr>
      <t>enter</t>
    </r>
    <r>
      <rPr>
        <sz val="11"/>
        <color indexed="8"/>
        <rFont val="Calibri"/>
        <family val="2"/>
        <scheme val="minor"/>
      </rPr>
      <t xml:space="preserve"> 1.0000 as the category relationships unfreeze factor in the relevant cell in this worksheet.</t>
    </r>
  </si>
  <si>
    <t xml:space="preserve">NANPA, and regulatory fees for each study area. </t>
  </si>
  <si>
    <t>FCC DA 24-294 established a tariff effective date of July 2, 2024. Current rates will be effective through July 1, 2024.</t>
  </si>
  <si>
    <t>The term discount plans in the study area worksheets are examples.  If a carrier offers discount plans with other term lengths and/or discounts, revise the relevant column headings</t>
  </si>
  <si>
    <t>to reflect these other term lengths, and revise the relevant formulas to reflect these other discounts to calculate the revenues for these plans.</t>
  </si>
  <si>
    <t>Rates from three different time periods are required to complete the TRP.  In the relevant cells, enter:</t>
  </si>
  <si>
    <t xml:space="preserve"> - rates at the last PCI update,</t>
  </si>
  <si>
    <t xml:space="preserve"> - current rates, </t>
  </si>
  <si>
    <t xml:space="preserve"> - proposed rates.</t>
  </si>
  <si>
    <t xml:space="preserve">If a carrier has not changed any rate since the last PCI update, then rates at the last PCI update and current rates will be equal.  </t>
  </si>
  <si>
    <t xml:space="preserve">The Factor Dev tab and the Holding Co TRP tab aggregate data from the prior input tabs.  Select the date of the last PCI update from the drop down list in column L of the Factor Dev tab.  </t>
  </si>
  <si>
    <t>rates must be removed in this filing via the TRS gross-up removal factor calculated in column P of the Factor Dev tab.  Enter the required data in columns M, N and O to calculate the</t>
  </si>
  <si>
    <t>This file Includes the following tabs:</t>
  </si>
  <si>
    <t>Exogenous Costs</t>
  </si>
  <si>
    <t>Study Area 1 Input</t>
  </si>
  <si>
    <t>Study Area 2 Input</t>
  </si>
  <si>
    <t>Study Area 3 Input</t>
  </si>
  <si>
    <t>Factor Dev(elopment)</t>
  </si>
  <si>
    <t>Holding Company TRP</t>
  </si>
  <si>
    <t xml:space="preserve">Filing Date:  </t>
  </si>
  <si>
    <t xml:space="preserve">Filing Entity: </t>
  </si>
  <si>
    <t xml:space="preserve">Transmittal Number: </t>
  </si>
  <si>
    <t>Contribution Factors Embedded in Current Rates</t>
  </si>
  <si>
    <t>Factor</t>
  </si>
  <si>
    <t xml:space="preserve">Existing Factor Value </t>
  </si>
  <si>
    <t>Source FCC Order</t>
  </si>
  <si>
    <t>Reg Fee Factor:</t>
  </si>
  <si>
    <t>NANPA Factor:</t>
  </si>
  <si>
    <t>Other CTS TRS Factor:</t>
  </si>
  <si>
    <t>IP-CTS TRS Factor:</t>
  </si>
  <si>
    <t>Holding Company ID</t>
  </si>
  <si>
    <t>Holding Company Name</t>
  </si>
  <si>
    <t>Study Area ID</t>
  </si>
  <si>
    <t>Study Area Name</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</si>
  <si>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</si>
  <si>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</si>
  <si>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</si>
  <si>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</si>
  <si>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</si>
  <si>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</si>
  <si>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End User Revenues from Resellers Not Contributing to USC
Line 511a</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</si>
  <si>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</si>
  <si>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</si>
  <si>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</si>
  <si>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</si>
  <si>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</si>
  <si>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</si>
  <si>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</si>
  <si>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IP TRS Fee</t>
  </si>
  <si>
    <t>Other TRS Fee</t>
  </si>
  <si>
    <t>Total TRS Fee</t>
  </si>
  <si>
    <t>NANPA</t>
  </si>
  <si>
    <t>BDS Portion of Gross Up Increment for TRS</t>
  </si>
  <si>
    <t>Incremental Exogenous Costs for BDS Services
(Z)</t>
  </si>
  <si>
    <t>Input</t>
  </si>
  <si>
    <t>Input
(Enter 1 from the drop down if study area is required to pay Reg Fees, enter 0 if exempt)</t>
  </si>
  <si>
    <t>000000001</t>
  </si>
  <si>
    <t>Example Holding Company</t>
  </si>
  <si>
    <t>900001</t>
  </si>
  <si>
    <t>Example Study Area 1</t>
  </si>
  <si>
    <t>900002</t>
  </si>
  <si>
    <t>Example Study Area 2</t>
  </si>
  <si>
    <t>900003</t>
  </si>
  <si>
    <t>Example Study Area 3</t>
  </si>
  <si>
    <t>*Line 412a is equivalent to Line 412e on form 499-A</t>
  </si>
  <si>
    <t xml:space="preserve">** If the percentage of BDS revenues in column 14 equals 0, inputs to columns 1 through 13 are not required.  </t>
  </si>
  <si>
    <t>Study Area Code:</t>
  </si>
  <si>
    <t>Study Area Name:</t>
  </si>
  <si>
    <t>Study Area Category Relationship Unfreeze Factor:</t>
  </si>
  <si>
    <t>Study Area Net Contributor or Net Recipient Factor:</t>
  </si>
  <si>
    <t>Year Incentive Regulation for Business Data Services Took Effect (input)</t>
  </si>
  <si>
    <t>Recurring Charges</t>
  </si>
  <si>
    <t>Average Monthly Revenue</t>
  </si>
  <si>
    <t>Tariff Reference</t>
  </si>
  <si>
    <t>Tariff Rate Element</t>
  </si>
  <si>
    <t>Service 
Category</t>
  </si>
  <si>
    <t>Proposed Rate
July 2, 2024</t>
  </si>
  <si>
    <t>Percent Rate Change
from Adjusted Current Rate to Proposed Rate</t>
  </si>
  <si>
    <t>Percent Rate Change
from Current Rate to Proposed Rate</t>
  </si>
  <si>
    <t>At Adjusted Current Rate</t>
  </si>
  <si>
    <t>At Proposed Rate</t>
  </si>
  <si>
    <t xml:space="preserve">Difference Proposed - Current </t>
  </si>
  <si>
    <t>** VOICE GRADE SPECIAL ACCESS SVCS **</t>
  </si>
  <si>
    <t>VG</t>
  </si>
  <si>
    <t>Example</t>
  </si>
  <si>
    <t>Example Voice Grade Special Access Svc</t>
  </si>
  <si>
    <t>** WATS SPECIAL ACCESS SVCS**</t>
  </si>
  <si>
    <t>WATS</t>
  </si>
  <si>
    <t>Example WATS Special Access Svc</t>
  </si>
  <si>
    <t>** METALLIC SPECIAL ACCESS SVCS**</t>
  </si>
  <si>
    <t>METAL</t>
  </si>
  <si>
    <t>Example Metallic Special Access Svc</t>
  </si>
  <si>
    <t>** TELEGRAPH SPECIAL ACCESS SVCS **</t>
  </si>
  <si>
    <t>TGR</t>
  </si>
  <si>
    <t>Example Telegraph Special Access Svc</t>
  </si>
  <si>
    <t>** AUDIO AND VIDEO SERVICES **</t>
  </si>
  <si>
    <t>AV</t>
  </si>
  <si>
    <t>Example Audio and Video Services</t>
  </si>
  <si>
    <t>** DS1 SPECIAL ACCESS SERVICES **</t>
  </si>
  <si>
    <t>DS1</t>
  </si>
  <si>
    <t>Example DS1 Special Access Services</t>
  </si>
  <si>
    <t>** DS3 SPECIAL ACCESS SERVICES **</t>
  </si>
  <si>
    <t>DS3</t>
  </si>
  <si>
    <t>Example DS3 Special Access Services</t>
  </si>
  <si>
    <t>** DDS Services **</t>
  </si>
  <si>
    <t>DDS</t>
  </si>
  <si>
    <t>Example DDS Services</t>
  </si>
  <si>
    <t>** WIDEBAND DATA AND WIDEBAND ANALOG SVCS **</t>
  </si>
  <si>
    <t>WIDE</t>
  </si>
  <si>
    <t>Example Wideband Data and Wideband Analog Services</t>
  </si>
  <si>
    <t>** MISCELLANEOUS CHARGES **
(Access ordering, additional labor, etc.)</t>
  </si>
  <si>
    <t>MISC</t>
  </si>
  <si>
    <t>Example Miscellaneous Charges</t>
  </si>
  <si>
    <t>Non-recurring Charges</t>
  </si>
  <si>
    <t>Annual Revenues</t>
  </si>
  <si>
    <t>Difference Proposed - Current</t>
  </si>
  <si>
    <t>Example Voice Grade Special Access Svcs</t>
  </si>
  <si>
    <t>Example WATS Special Access Svcs</t>
  </si>
  <si>
    <t>Example Metallic Special Access Svcs</t>
  </si>
  <si>
    <t>Example Telegraph Special Access Svcs</t>
  </si>
  <si>
    <t>Example Wideband Data and Wideband Analog Svcs</t>
  </si>
  <si>
    <t>DS2</t>
  </si>
  <si>
    <t>DS4</t>
  </si>
  <si>
    <t>DS5</t>
  </si>
  <si>
    <t>DS6</t>
  </si>
  <si>
    <t>DS7</t>
  </si>
  <si>
    <t>Source</t>
  </si>
  <si>
    <t>https://apps.bea.gov/iTable/?reqid=19&amp;step=2&amp;isuri=1&amp;categories=survey</t>
  </si>
  <si>
    <t>GDP-PI Q4 2022</t>
  </si>
  <si>
    <t>Table 1.1.4. Price Index for Gross Domestic Product as of 3/28/24.</t>
  </si>
  <si>
    <t>GDP-PI Q4 2023</t>
  </si>
  <si>
    <t>Category Relationships Unfreeze Factor</t>
  </si>
  <si>
    <t>Interstate Special Access Settlements @9.75%
7/1/23 - 12/31/23</t>
  </si>
  <si>
    <t xml:space="preserve">Pooled Special Access Revenues 7/1/23 - 12/31/23 </t>
  </si>
  <si>
    <t>Difference Revenue 
- Settlements</t>
  </si>
  <si>
    <t>Net Contributor / Net Recipient Factor</t>
  </si>
  <si>
    <t>Productivity Factor 
(X Factor)</t>
  </si>
  <si>
    <t>Percent Change in GDP-PI
(GDP-PI)</t>
  </si>
  <si>
    <t>Ratio of the Sum of Annual Revenues Plus Exogenous Cost Changes to Annual Revenues 
(w)</t>
  </si>
  <si>
    <t>Holding Company Current PCI</t>
  </si>
  <si>
    <t>Holding Company Proposed PCI Prior to Removing Gross Up</t>
  </si>
  <si>
    <t>Date of Last PCI Update</t>
  </si>
  <si>
    <t>Total BDS Revenue Under Incentive Regulation from Mid-Course Filing</t>
  </si>
  <si>
    <t>Holding Company PCI at Last Annual BDS Filing</t>
  </si>
  <si>
    <t>TRS Gross Up Amount from Mid-Course Filing</t>
  </si>
  <si>
    <t>TRS Gross Up Removal Factor</t>
  </si>
  <si>
    <t>Holding Company Proposed PCI</t>
  </si>
  <si>
    <t>Date of Current Rate</t>
  </si>
  <si>
    <t>Date of Proposed Rate</t>
  </si>
  <si>
    <t>FCC 61.45(b)(1)(iv)</t>
  </si>
  <si>
    <t>Individual Study Area Dashboards on Holding Co TRP Tab</t>
  </si>
  <si>
    <t>Input
(Last date that current rates will be effective)</t>
  </si>
  <si>
    <t>Input
(Date that new rates will become effective)</t>
  </si>
  <si>
    <t>222222 - new to incentive reg for BDS</t>
  </si>
  <si>
    <t>BDS HoldCo EC1</t>
  </si>
  <si>
    <t>222223 - currently on incentive reg for BDS</t>
  </si>
  <si>
    <t>BDS HoldCo EC2</t>
  </si>
  <si>
    <t>222224 - currently on incentive reg for BDS</t>
  </si>
  <si>
    <t>BDS HoldCo EC3</t>
  </si>
  <si>
    <t>October 1, 2023</t>
  </si>
  <si>
    <t>July 1, 2024</t>
  </si>
  <si>
    <t>July 2, 2024</t>
  </si>
  <si>
    <t>Holding Company Code:</t>
  </si>
  <si>
    <t>Holding Company Name:</t>
  </si>
  <si>
    <t xml:space="preserve">Comprised of Study Areas: </t>
  </si>
  <si>
    <t>900001, 900002, 900003</t>
  </si>
  <si>
    <t>Holding Company Level Proposed PCI:</t>
  </si>
  <si>
    <t>Holding Company Current PCI:</t>
  </si>
  <si>
    <t>Annual Recurring Revenue</t>
  </si>
  <si>
    <t>Annual Non-recurring Revenue</t>
  </si>
  <si>
    <t>Total Annual Revenue</t>
  </si>
  <si>
    <t>Service Band</t>
  </si>
  <si>
    <t>Proposed Service Band Index 
(for Service Bands)
 or
Proposed Actual Price Index
 (for Total Basket)</t>
  </si>
  <si>
    <t>SBI Upper Limit (for Service Bands) 
or 
Proposed PCI (for Total Basket)</t>
  </si>
  <si>
    <t>Pass if Proposed SBI Less Than or Equal to SBI Limit, or if Proposed API Less Than or Equal To Proposed PCI</t>
  </si>
  <si>
    <t>At Current Rates (Adjusted or At Last PCI Update)</t>
  </si>
  <si>
    <t>Line No.</t>
  </si>
  <si>
    <t>100.0000</t>
  </si>
  <si>
    <t>Aggregate Sum of Recurring Charges at Last PCI Update For All Study Areas</t>
  </si>
  <si>
    <t>Aggregate Sum of Recurring Charges at Proposed Rate  For All Study Areas</t>
  </si>
  <si>
    <t>Aggregate Sum of Non-recurring Charges at Current Rate For All Study Areas</t>
  </si>
  <si>
    <t>Aggregate Sum of Non-recurring Charges at Proposed Rate For All Study Areas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</si>
  <si>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</si>
  <si>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</si>
  <si>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</si>
  <si>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</si>
  <si>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</si>
  <si>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</si>
  <si>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</si>
  <si>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 or subsequent filing date if applicable</t>
  </si>
  <si>
    <t>Sum of Recurring Charges at Last PCI Update x 12</t>
  </si>
  <si>
    <t>Sum of Recurring Charges at Proposed  Rates x 12</t>
  </si>
  <si>
    <t>Sum of Non-recurring Charges at Current Rates</t>
  </si>
  <si>
    <t>Sum of Non-recurring Charges at Proposed Rates</t>
  </si>
  <si>
    <t>Total (Lines 1, 2, 5, 6 and Non-recurring Miscellaneous Charges)</t>
  </si>
  <si>
    <t>Sum of Recurring Charges at Current Rates x 12</t>
  </si>
  <si>
    <t>Sum of Non-recurring Charges at Last PCI Update</t>
  </si>
  <si>
    <t>Dates</t>
  </si>
  <si>
    <t>July 1, 2023</t>
  </si>
  <si>
    <t>DemandYear</t>
  </si>
  <si>
    <t>FilingYear</t>
  </si>
  <si>
    <t>TariffEffectiveDate</t>
  </si>
  <si>
    <t>CurrentRate</t>
  </si>
  <si>
    <t xml:space="preserve">   - are filing a holding company TRP comprised of a mix of study areas that moved to incentive regulation in 2024 and prior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</si>
</sst>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
    <numFmt numFmtId="173" formatCode="#,##0.0000"/>
    <numFmt numFmtId="174" formatCode="0.000000"/>
    <numFmt numFmtId="175" formatCode="#,##0.000000"/>
    <numFmt numFmtId="176" formatCode="&quot;$&quot;#,##0"/>
  </numFmts>
  <fonts count="26" x14ac:knownFonts="1">
    <font>
      <sz val="11"/>
      <color theme="1"/>
      <name val="Calibri"/>
      <family val="2"/>
      <scheme val="minor"/>
    </font>
    <font>
      <sz val="12"/>
      <name val="Arial"/>
      <family val="2"/>
    </font>
    <font>
      <sz val="10"/>
      <name val="Arial"/>
      <family val="2"/>
    </font>
    <font>
      <b/>
      <sz val="12"/>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b/>
      <sz val="10"/>
      <color theme="1"/>
      <name val="Arial"/>
      <family val="2"/>
    </font>
    <font>
      <b/>
      <sz val="11"/>
      <color rgb="FF00B050"/>
      <name val="Calibri"/>
      <family val="2"/>
      <scheme val="minor"/>
    </font>
    <font>
      <sz val="14"/>
      <color indexed="8"/>
      <name val="Calibri"/>
      <family val="2"/>
      <scheme val="minor"/>
    </font>
    <font>
      <b/>
      <sz val="11"/>
      <color rgb="FFFF0000"/>
      <name val="Calibri"/>
      <family val="2"/>
      <scheme val="minor"/>
    </font>
    <font>
      <sz val="11"/>
      <color rgb="FFFF0000"/>
      <name val="Calibri"/>
      <family val="2"/>
      <scheme val="minor"/>
    </font>
    <font>
      <b/>
      <sz val="11"/>
      <color indexed="8"/>
      <name val="Calibri"/>
      <family val="2"/>
      <scheme val="minor"/>
    </font>
    <font>
      <b/>
      <sz val="11"/>
      <color theme="0"/>
      <name val="Calibri"/>
      <family val="2"/>
      <scheme val="minor"/>
    </font>
    <font>
      <sz val="11"/>
      <color rgb="FF00B050"/>
      <name val="Calibri"/>
      <family val="2"/>
      <scheme val="minor"/>
    </font>
    <font>
      <b/>
      <sz val="14"/>
      <name val="Calibri"/>
      <family val="2"/>
      <scheme val="minor"/>
    </font>
    <font>
      <b/>
      <sz val="12"/>
      <name val="Calibri"/>
      <family val="2"/>
      <scheme val="minor"/>
    </font>
    <font>
      <sz val="11"/>
      <color indexed="8"/>
      <name val="Calibri"/>
      <family val="2"/>
      <scheme val="minor"/>
    </font>
    <font>
      <sz val="12"/>
      <color indexed="8"/>
      <name val="Calibri"/>
      <family val="2"/>
      <scheme val="minor"/>
    </font>
    <font>
      <sz val="11"/>
      <color theme="1"/>
      <name val="Calibri"/>
      <family val="2"/>
      <scheme val="minor"/>
    </font>
    <font>
      <b/>
      <sz val="16"/>
      <color theme="0"/>
      <name val="Calibri"/>
      <family val="2"/>
      <scheme val="minor"/>
    </font>
    <font>
      <sz val="11"/>
      <color theme="0"/>
      <name val="Calibri"/>
      <family val="2"/>
      <scheme val="minor"/>
    </font>
    <font>
      <sz val="12"/>
      <color rgb="FFFF0000"/>
      <name val="Arial"/>
      <family val="2"/>
    </font>
    <font>
      <sz val="8"/>
      <name val="Calibri"/>
      <family val="2"/>
      <scheme val="minor"/>
    </font>
    <font>
      <b/>
      <sz val="11"/>
      <color rgb="FF00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s>
  <borders count="6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auto="1"/>
      </left>
      <right style="medium">
        <color auto="1"/>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indexed="64"/>
      </right>
      <top/>
      <bottom/>
      <diagonal/>
    </border>
    <border>
      <left style="medium">
        <color auto="1"/>
      </left>
      <right style="thin">
        <color auto="1"/>
      </right>
      <top/>
      <bottom/>
      <diagonal/>
    </border>
  </borders>
  <cellStyleXfs count="9">
    <xf numFmtId="0" fontId="0" fillId="0" borderId="0"/>
    <xf numFmtId="9" fontId="20" fillId="0" borderId="0" applyFont="0" applyFill="0" applyBorder="0" applyAlignment="0" applyProtection="0"/>
    <xf numFmtId="0" fontId="1" fillId="0" borderId="0"/>
    <xf numFmtId="43" fontId="2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406">
    <xf numFmtId="0" fontId="0" fillId="0" borderId="0" xfId="0"/>
    <xf numFmtId="0" fontId="10" fillId="0" borderId="0" xfId="0" applyFont="1" applyAlignment="1">
      <alignment vertical="center"/>
    </xf>
    <xf numFmtId="0" fontId="1" fillId="0" borderId="0" xfId="8"/>
    <xf numFmtId="166" fontId="6" fillId="0" borderId="0" xfId="0" applyNumberFormat="1" applyFont="1" applyAlignment="1">
      <alignment horizontal="right"/>
    </xf>
    <xf numFmtId="3" fontId="6" fillId="0" borderId="0" xfId="0" applyNumberFormat="1" applyFont="1"/>
    <xf numFmtId="1" fontId="6" fillId="0" borderId="0" xfId="0" applyNumberFormat="1" applyFont="1"/>
    <xf numFmtId="168" fontId="13" fillId="0" borderId="0" xfId="1" applyNumberFormat="1" applyFont="1" applyFill="1" applyBorder="1" applyAlignment="1">
      <alignment horizontal="left"/>
    </xf>
    <xf numFmtId="0" fontId="0" fillId="0" borderId="0" xfId="0" quotePrefix="1"/>
    <xf numFmtId="0" fontId="11" fillId="0" borderId="0" xfId="8" applyFont="1" applyAlignment="1">
      <alignment horizontal="center"/>
    </xf>
    <xf numFmtId="0" fontId="15" fillId="0" borderId="0" xfId="0" applyFont="1" applyAlignment="1">
      <alignment horizontal="center"/>
    </xf>
    <xf numFmtId="171" fontId="4" fillId="0" borderId="0" xfId="1" applyNumberFormat="1" applyFont="1" applyFill="1" applyBorder="1" applyAlignment="1">
      <alignment horizontal="right" indent="1"/>
    </xf>
    <xf numFmtId="171" fontId="7" fillId="0" borderId="0" xfId="1" applyNumberFormat="1" applyFont="1" applyFill="1" applyBorder="1" applyAlignment="1">
      <alignment horizontal="right" indent="1"/>
    </xf>
    <xf numFmtId="166" fontId="4" fillId="0" borderId="0" xfId="0" applyNumberFormat="1" applyFont="1" applyAlignment="1">
      <alignment horizontal="right" indent="1"/>
    </xf>
    <xf numFmtId="167" fontId="14" fillId="0" borderId="0" xfId="0" applyNumberFormat="1" applyFont="1"/>
    <xf numFmtId="0" fontId="6" fillId="0" borderId="0" xfId="0" applyFont="1"/>
    <xf numFmtId="0" fontId="7" fillId="0" borderId="1" xfId="0" applyFont="1" applyBorder="1" applyAlignment="1">
      <alignment horizontal="center" wrapText="1"/>
    </xf>
    <xf numFmtId="164" fontId="18" fillId="0" borderId="1" xfId="1" applyNumberFormat="1" applyFont="1" applyFill="1" applyBorder="1" applyAlignment="1">
      <alignment horizontal="right" wrapText="1"/>
    </xf>
    <xf numFmtId="0" fontId="6" fillId="0" borderId="0" xfId="0" applyFont="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8" fillId="0" borderId="0" xfId="0" applyFont="1" applyAlignment="1">
      <alignment vertical="center"/>
    </xf>
    <xf numFmtId="0" fontId="4" fillId="0" borderId="0" xfId="0" applyFont="1"/>
    <xf numFmtId="171" fontId="0" fillId="0" borderId="0" xfId="1" applyNumberFormat="1" applyFont="1" applyFill="1" applyBorder="1" applyAlignment="1">
      <alignment horizontal="right" indent="1"/>
    </xf>
    <xf numFmtId="0" fontId="0" fillId="0" borderId="0" xfId="0" applyAlignment="1">
      <alignment horizontal="center"/>
    </xf>
    <xf numFmtId="166" fontId="0" fillId="0" borderId="0" xfId="0" applyNumberFormat="1" applyAlignment="1">
      <alignment horizontal="right" indent="1"/>
    </xf>
    <xf numFmtId="0" fontId="7" fillId="0" borderId="0" xfId="0" applyFont="1" applyAlignment="1">
      <alignment horizontal="center"/>
    </xf>
    <xf numFmtId="0" fontId="6" fillId="0" borderId="0" xfId="0" applyFont="1" applyAlignment="1">
      <alignment horizontal="left" vertical="top"/>
    </xf>
    <xf numFmtId="0" fontId="6" fillId="0" borderId="0" xfId="0" applyFont="1" applyAlignment="1">
      <alignment wrapText="1"/>
    </xf>
    <xf numFmtId="0" fontId="19" fillId="0" borderId="0" xfId="0" applyFont="1" applyAlignment="1">
      <alignment vertical="center" wrapText="1"/>
    </xf>
    <xf numFmtId="0" fontId="7" fillId="0" borderId="0" xfId="8" applyFont="1" applyAlignment="1">
      <alignment horizontal="left" vertical="top" wrapText="1"/>
    </xf>
    <xf numFmtId="0" fontId="7" fillId="0" borderId="1" xfId="8" applyFont="1" applyBorder="1" applyAlignment="1">
      <alignment horizontal="center" wrapText="1"/>
    </xf>
    <xf numFmtId="0" fontId="7" fillId="0" borderId="5" xfId="8" applyFont="1" applyBorder="1" applyAlignment="1">
      <alignment horizontal="center" wrapText="1"/>
    </xf>
    <xf numFmtId="0" fontId="19" fillId="0" borderId="0" xfId="0" applyFont="1" applyAlignment="1">
      <alignment vertical="center"/>
    </xf>
    <xf numFmtId="0" fontId="0" fillId="0" borderId="0" xfId="0" applyAlignment="1">
      <alignment vertical="center"/>
    </xf>
    <xf numFmtId="0" fontId="7" fillId="0" borderId="0" xfId="8" applyFont="1" applyAlignment="1">
      <alignment vertical="top" wrapText="1"/>
    </xf>
    <xf numFmtId="0" fontId="4" fillId="0" borderId="6" xfId="0" applyFont="1" applyBorder="1" applyAlignment="1">
      <alignment horizontal="center" wrapText="1"/>
    </xf>
    <xf numFmtId="171" fontId="0" fillId="0" borderId="1" xfId="1" applyNumberFormat="1" applyFont="1" applyFill="1" applyBorder="1" applyAlignment="1">
      <alignment horizontal="right" indent="1"/>
    </xf>
    <xf numFmtId="0" fontId="7" fillId="0" borderId="3" xfId="0" applyFont="1" applyBorder="1" applyAlignment="1">
      <alignment horizontal="center" wrapText="1"/>
    </xf>
    <xf numFmtId="166" fontId="0" fillId="0" borderId="1" xfId="0" applyNumberFormat="1" applyBorder="1" applyAlignment="1">
      <alignment horizontal="right" wrapText="1"/>
    </xf>
    <xf numFmtId="0" fontId="18" fillId="0" borderId="0" xfId="0" applyFont="1" applyAlignment="1">
      <alignment vertical="center" wrapText="1"/>
    </xf>
    <xf numFmtId="0" fontId="8" fillId="0" borderId="0" xfId="0" applyFont="1"/>
    <xf numFmtId="0" fontId="4" fillId="0" borderId="48" xfId="0" applyFont="1" applyBorder="1" applyAlignment="1">
      <alignment horizontal="center" wrapText="1"/>
    </xf>
    <xf numFmtId="0" fontId="4" fillId="0" borderId="21" xfId="0" applyFont="1" applyBorder="1" applyAlignment="1">
      <alignment horizontal="center" wrapText="1"/>
    </xf>
    <xf numFmtId="0" fontId="4" fillId="0" borderId="0" xfId="0" applyFont="1" applyAlignment="1">
      <alignment horizontal="center" wrapText="1"/>
    </xf>
    <xf numFmtId="0" fontId="11" fillId="0" borderId="0" xfId="0" applyFont="1" applyAlignment="1">
      <alignment horizontal="center" wrapText="1"/>
    </xf>
    <xf numFmtId="0" fontId="23" fillId="0" borderId="0" xfId="8" applyFont="1"/>
    <xf numFmtId="0" fontId="21" fillId="0" borderId="0" xfId="0" applyFont="1"/>
    <xf numFmtId="0" fontId="7" fillId="0" borderId="0" xfId="8" applyFont="1"/>
    <xf numFmtId="0" fontId="3" fillId="0" borderId="0" xfId="8" applyFont="1"/>
    <xf numFmtId="0" fontId="7" fillId="0" borderId="1" xfId="0" quotePrefix="1" applyFont="1" applyBorder="1" applyAlignment="1">
      <alignment horizontal="center" wrapText="1"/>
    </xf>
    <xf numFmtId="0" fontId="7" fillId="0" borderId="0" xfId="0" applyFont="1"/>
    <xf numFmtId="0" fontId="9" fillId="0" borderId="0" xfId="0" applyFont="1"/>
    <xf numFmtId="166" fontId="0" fillId="0" borderId="5" xfId="0" applyNumberFormat="1" applyBorder="1" applyAlignment="1">
      <alignment horizontal="right" wrapText="1"/>
    </xf>
    <xf numFmtId="166" fontId="0" fillId="0" borderId="49" xfId="0" applyNumberFormat="1" applyBorder="1" applyAlignment="1">
      <alignment horizontal="right" wrapText="1"/>
    </xf>
    <xf numFmtId="0" fontId="9" fillId="0" borderId="0" xfId="0" applyFont="1" applyAlignment="1">
      <alignment horizontal="center"/>
    </xf>
    <xf numFmtId="0" fontId="4" fillId="0" borderId="44" xfId="0" applyFont="1" applyBorder="1" applyAlignment="1">
      <alignment wrapText="1"/>
    </xf>
    <xf numFmtId="0" fontId="4" fillId="0" borderId="45" xfId="0" applyFont="1" applyBorder="1" applyAlignment="1">
      <alignment wrapText="1"/>
    </xf>
    <xf numFmtId="0" fontId="4" fillId="0" borderId="46" xfId="0" applyFont="1" applyBorder="1" applyAlignment="1">
      <alignment wrapText="1"/>
    </xf>
    <xf numFmtId="0" fontId="4" fillId="0" borderId="41" xfId="0" applyFont="1" applyBorder="1" applyAlignment="1">
      <alignment wrapText="1"/>
    </xf>
    <xf numFmtId="0" fontId="4" fillId="0" borderId="12" xfId="0" applyFont="1" applyBorder="1" applyAlignment="1">
      <alignment horizontal="center" wrapText="1"/>
    </xf>
    <xf numFmtId="0" fontId="4" fillId="0" borderId="42" xfId="0" applyFont="1" applyBorder="1" applyAlignment="1">
      <alignment horizontal="center" wrapText="1"/>
    </xf>
    <xf numFmtId="0" fontId="4" fillId="0" borderId="43" xfId="0" applyFont="1" applyBorder="1" applyAlignment="1">
      <alignment horizontal="center" wrapText="1"/>
    </xf>
    <xf numFmtId="0" fontId="4" fillId="0" borderId="3" xfId="0" quotePrefix="1" applyFont="1" applyBorder="1" applyAlignment="1">
      <alignment horizontal="center" wrapText="1"/>
    </xf>
    <xf numFmtId="0" fontId="4" fillId="0" borderId="23" xfId="0" applyFont="1" applyBorder="1" applyAlignment="1">
      <alignment horizontal="center" wrapText="1"/>
    </xf>
    <xf numFmtId="0" fontId="4" fillId="0" borderId="1" xfId="0" applyFont="1" applyBorder="1" applyAlignment="1">
      <alignment horizontal="center" wrapText="1"/>
    </xf>
    <xf numFmtId="0" fontId="4" fillId="0" borderId="5" xfId="0" applyFont="1" applyBorder="1" applyAlignment="1">
      <alignment horizontal="center" wrapText="1"/>
    </xf>
    <xf numFmtId="0" fontId="4" fillId="0" borderId="36" xfId="0" applyFont="1" applyBorder="1" applyAlignment="1">
      <alignment horizontal="center" wrapText="1"/>
    </xf>
    <xf numFmtId="0" fontId="4" fillId="0" borderId="4" xfId="0" applyFont="1" applyBorder="1" applyAlignment="1">
      <alignment horizontal="center" wrapText="1"/>
    </xf>
    <xf numFmtId="0" fontId="4" fillId="0" borderId="49" xfId="0" applyFont="1" applyBorder="1" applyAlignment="1">
      <alignment horizontal="center" wrapText="1"/>
    </xf>
    <xf numFmtId="0" fontId="4" fillId="0" borderId="36" xfId="0" quotePrefix="1" applyFont="1" applyBorder="1" applyAlignment="1">
      <alignment horizontal="center" wrapText="1"/>
    </xf>
    <xf numFmtId="0" fontId="4" fillId="0" borderId="53" xfId="0" applyFont="1" applyBorder="1" applyAlignment="1">
      <alignment horizontal="center" wrapText="1"/>
    </xf>
    <xf numFmtId="0" fontId="4" fillId="0" borderId="54" xfId="0" applyFont="1" applyBorder="1" applyAlignment="1">
      <alignment horizontal="center" wrapText="1"/>
    </xf>
    <xf numFmtId="0" fontId="4" fillId="0" borderId="49" xfId="0" quotePrefix="1" applyFont="1" applyBorder="1" applyAlignment="1">
      <alignment horizontal="center" wrapText="1"/>
    </xf>
    <xf numFmtId="174" fontId="0" fillId="0" borderId="23" xfId="0" applyNumberFormat="1" applyBorder="1" applyAlignment="1">
      <alignment horizontal="right" wrapText="1"/>
    </xf>
    <xf numFmtId="174" fontId="0" fillId="0" borderId="5" xfId="0" applyNumberFormat="1" applyBorder="1" applyAlignment="1">
      <alignment horizontal="right" wrapText="1"/>
    </xf>
    <xf numFmtId="1" fontId="0" fillId="0" borderId="4" xfId="0" applyNumberFormat="1" applyBorder="1" applyAlignment="1">
      <alignment horizontal="right" wrapText="1"/>
    </xf>
    <xf numFmtId="174" fontId="0" fillId="0" borderId="9" xfId="0" applyNumberFormat="1" applyBorder="1" applyAlignment="1">
      <alignment horizontal="right"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4" fillId="0" borderId="25" xfId="0" applyFont="1" applyBorder="1" applyAlignment="1">
      <alignment horizontal="center" wrapText="1"/>
    </xf>
    <xf numFmtId="0" fontId="4" fillId="0" borderId="55" xfId="0" quotePrefix="1" applyFont="1" applyBorder="1" applyAlignment="1">
      <alignment horizontal="center" wrapText="1"/>
    </xf>
    <xf numFmtId="0" fontId="4" fillId="0" borderId="38" xfId="0" applyFont="1" applyBorder="1" applyAlignment="1">
      <alignment horizontal="center" wrapText="1"/>
    </xf>
    <xf numFmtId="174" fontId="0" fillId="0" borderId="13" xfId="0" applyNumberFormat="1" applyBorder="1" applyAlignment="1">
      <alignment horizontal="right" wrapText="1"/>
    </xf>
    <xf numFmtId="166" fontId="0" fillId="0" borderId="0" xfId="0" applyNumberFormat="1"/>
    <xf numFmtId="166" fontId="7" fillId="0" borderId="0" xfId="0" applyNumberFormat="1" applyFont="1" applyAlignment="1">
      <alignment horizontal="right"/>
    </xf>
    <xf numFmtId="0" fontId="0" fillId="0" borderId="0" xfId="0" applyAlignment="1">
      <alignment wrapText="1"/>
    </xf>
    <xf numFmtId="171" fontId="0" fillId="0" borderId="0" xfId="0" applyNumberFormat="1"/>
    <xf numFmtId="0" fontId="4" fillId="0" borderId="10" xfId="0" applyFont="1" applyBorder="1" applyAlignment="1">
      <alignment horizontal="center" wrapText="1"/>
    </xf>
    <xf numFmtId="0" fontId="7" fillId="0" borderId="0" xfId="0" quotePrefix="1" applyFont="1" applyAlignment="1">
      <alignment horizontal="center" wrapText="1"/>
    </xf>
    <xf numFmtId="0" fontId="12" fillId="0" borderId="0" xfId="0" applyFont="1"/>
    <xf numFmtId="0" fontId="5" fillId="0" borderId="4" xfId="0" applyFont="1" applyBorder="1" applyAlignment="1">
      <alignment horizontal="center" wrapText="1"/>
    </xf>
    <xf numFmtId="0" fontId="7" fillId="0" borderId="4" xfId="8" applyFont="1" applyBorder="1"/>
    <xf numFmtId="174" fontId="7" fillId="0" borderId="1" xfId="8" applyNumberFormat="1" applyFont="1" applyBorder="1" applyAlignment="1">
      <alignment vertical="top"/>
    </xf>
    <xf numFmtId="0" fontId="7" fillId="0" borderId="5" xfId="8" applyFont="1" applyBorder="1"/>
    <xf numFmtId="170" fontId="7" fillId="0" borderId="1" xfId="8" applyNumberFormat="1" applyFont="1" applyBorder="1"/>
    <xf numFmtId="0" fontId="7" fillId="0" borderId="7" xfId="8" applyFont="1" applyBorder="1"/>
    <xf numFmtId="174" fontId="7" fillId="0" borderId="19" xfId="8" applyNumberFormat="1" applyFont="1" applyBorder="1" applyAlignment="1">
      <alignment vertical="top"/>
    </xf>
    <xf numFmtId="0" fontId="7" fillId="0" borderId="8" xfId="8" applyFont="1" applyBorder="1"/>
    <xf numFmtId="0" fontId="5" fillId="0" borderId="0" xfId="0" applyFont="1"/>
    <xf numFmtId="0" fontId="4" fillId="0" borderId="4" xfId="0" applyFont="1" applyBorder="1"/>
    <xf numFmtId="0" fontId="4" fillId="0" borderId="1" xfId="0" applyFont="1" applyBorder="1"/>
    <xf numFmtId="0" fontId="4" fillId="0" borderId="5" xfId="0" applyFont="1" applyBorder="1"/>
    <xf numFmtId="0" fontId="4" fillId="0" borderId="9" xfId="0" applyFont="1" applyBorder="1" applyAlignment="1">
      <alignment horizontal="center" wrapText="1"/>
    </xf>
    <xf numFmtId="0" fontId="4" fillId="0" borderId="17" xfId="0" applyFont="1" applyBorder="1" applyAlignment="1">
      <alignment horizontal="center"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166" fontId="0" fillId="0" borderId="1" xfId="0" applyNumberFormat="1" applyBorder="1"/>
    <xf numFmtId="166" fontId="0" fillId="0" borderId="9" xfId="0" applyNumberFormat="1" applyBorder="1"/>
    <xf numFmtId="166" fontId="0" fillId="0" borderId="17" xfId="0" applyNumberFormat="1" applyBorder="1"/>
    <xf numFmtId="166" fontId="0" fillId="0" borderId="54" xfId="0" applyNumberFormat="1" applyBorder="1"/>
    <xf numFmtId="166" fontId="0" fillId="0" borderId="13" xfId="0" applyNumberFormat="1" applyBorder="1"/>
    <xf numFmtId="166" fontId="0" fillId="0" borderId="57" xfId="0" applyNumberFormat="1" applyBorder="1"/>
    <xf numFmtId="0" fontId="3" fillId="0" borderId="0" xfId="0" applyFont="1" applyAlignment="1">
      <alignment horizontal="center"/>
    </xf>
    <xf numFmtId="0" fontId="11" fillId="0" borderId="0" xfId="0" applyFont="1"/>
    <xf numFmtId="0" fontId="4" fillId="0" borderId="0" xfId="0" applyFont="1" applyAlignment="1">
      <alignment horizontal="right"/>
    </xf>
    <xf numFmtId="171" fontId="7" fillId="0" borderId="0" xfId="0" applyNumberFormat="1" applyFont="1" applyAlignment="1">
      <alignment horizontal="left" wrapText="1"/>
    </xf>
    <xf numFmtId="0" fontId="7" fillId="0" borderId="0" xfId="0" applyFont="1" applyAlignment="1">
      <alignment horizontal="center" wrapText="1"/>
    </xf>
    <xf numFmtId="171" fontId="7" fillId="0" borderId="0" xfId="0" applyNumberFormat="1" applyFont="1" applyAlignment="1">
      <alignment wrapText="1"/>
    </xf>
    <xf numFmtId="0" fontId="7"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7" fillId="0" borderId="36" xfId="0" applyFont="1" applyBorder="1" applyAlignment="1">
      <alignment horizontal="center"/>
    </xf>
    <xf numFmtId="0" fontId="0" fillId="0" borderId="5" xfId="0" applyBorder="1" applyAlignment="1">
      <alignment horizontal="center"/>
    </xf>
    <xf numFmtId="166" fontId="0" fillId="0" borderId="4" xfId="0" applyNumberFormat="1" applyBorder="1" applyAlignment="1">
      <alignment horizontal="right" indent="1"/>
    </xf>
    <xf numFmtId="166" fontId="0" fillId="0" borderId="1" xfId="0" applyNumberFormat="1" applyBorder="1" applyAlignment="1">
      <alignment horizontal="right" indent="1"/>
    </xf>
    <xf numFmtId="166" fontId="0" fillId="0" borderId="5" xfId="0" applyNumberFormat="1" applyBorder="1" applyAlignment="1">
      <alignment horizontal="right" indent="1"/>
    </xf>
    <xf numFmtId="166" fontId="0" fillId="0" borderId="23" xfId="0" applyNumberFormat="1" applyBorder="1" applyAlignment="1">
      <alignment horizontal="right" indent="1"/>
    </xf>
    <xf numFmtId="171" fontId="4" fillId="0" borderId="19" xfId="1" applyNumberFormat="1" applyFont="1" applyFill="1" applyBorder="1" applyAlignment="1">
      <alignment horizontal="right" indent="1"/>
    </xf>
    <xf numFmtId="171" fontId="0" fillId="0" borderId="19" xfId="1" applyNumberFormat="1" applyFont="1" applyFill="1" applyBorder="1" applyAlignment="1">
      <alignment horizontal="right" indent="1"/>
    </xf>
    <xf numFmtId="0" fontId="0" fillId="0" borderId="8" xfId="0" applyBorder="1" applyAlignment="1">
      <alignment horizontal="center"/>
    </xf>
    <xf numFmtId="166" fontId="0" fillId="0" borderId="7" xfId="0" applyNumberFormat="1" applyBorder="1" applyAlignment="1">
      <alignment horizontal="right" indent="1"/>
    </xf>
    <xf numFmtId="166" fontId="0" fillId="0" borderId="8" xfId="0" applyNumberFormat="1" applyBorder="1" applyAlignment="1">
      <alignment horizontal="right" indent="1"/>
    </xf>
    <xf numFmtId="0" fontId="7" fillId="0" borderId="37" xfId="0" applyFont="1" applyBorder="1" applyAlignment="1">
      <alignment horizontal="center"/>
    </xf>
    <xf numFmtId="0" fontId="7" fillId="0" borderId="0" xfId="8" applyFont="1" applyAlignment="1">
      <alignment horizontal="center"/>
    </xf>
    <xf numFmtId="0" fontId="8" fillId="0" borderId="0" xfId="0" applyFont="1" applyAlignment="1">
      <alignment horizontal="left"/>
    </xf>
    <xf numFmtId="166" fontId="0" fillId="0" borderId="41" xfId="0" applyNumberFormat="1" applyBorder="1" applyAlignment="1">
      <alignment horizontal="right" wrapText="1"/>
    </xf>
    <xf numFmtId="174" fontId="4" fillId="0" borderId="56" xfId="0" applyNumberFormat="1" applyFont="1" applyBorder="1" applyAlignment="1">
      <alignment horizontal="right" wrapText="1"/>
    </xf>
    <xf numFmtId="166" fontId="4" fillId="0" borderId="28" xfId="0" applyNumberFormat="1" applyFont="1" applyBorder="1" applyAlignment="1">
      <alignment horizontal="right" wrapText="1"/>
    </xf>
    <xf numFmtId="0" fontId="4" fillId="0" borderId="0" xfId="0" applyFont="1" applyAlignment="1">
      <alignment horizontal="center"/>
    </xf>
    <xf numFmtId="0" fontId="6" fillId="0" borderId="0" xfId="0" applyFont="1" applyAlignment="1">
      <alignment horizontal="center"/>
    </xf>
    <xf numFmtId="0" fontId="4" fillId="0" borderId="9" xfId="0" applyFont="1" applyBorder="1"/>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5" xfId="0" applyFont="1" applyBorder="1" applyAlignment="1">
      <alignment horizontal="center" wrapText="1"/>
    </xf>
    <xf numFmtId="0" fontId="4" fillId="0" borderId="9" xfId="0" quotePrefix="1" applyFont="1" applyBorder="1" applyAlignment="1">
      <alignment horizontal="center" wrapText="1"/>
    </xf>
    <xf numFmtId="0" fontId="4" fillId="0" borderId="19" xfId="0" applyFont="1" applyBorder="1"/>
    <xf numFmtId="172" fontId="4" fillId="0" borderId="7" xfId="1" applyNumberFormat="1" applyFont="1" applyFill="1" applyBorder="1" applyAlignment="1">
      <alignment wrapText="1"/>
    </xf>
    <xf numFmtId="172" fontId="4" fillId="0" borderId="19" xfId="1" applyNumberFormat="1" applyFont="1" applyFill="1" applyBorder="1" applyAlignment="1">
      <alignment wrapText="1"/>
    </xf>
    <xf numFmtId="166" fontId="4" fillId="0" borderId="19" xfId="1" applyNumberFormat="1" applyFont="1" applyFill="1" applyBorder="1" applyAlignment="1">
      <alignment wrapText="1"/>
    </xf>
    <xf numFmtId="0" fontId="4" fillId="2" borderId="47"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6" xfId="0" applyFont="1" applyFill="1" applyBorder="1" applyAlignment="1">
      <alignment horizontal="center" wrapText="1"/>
    </xf>
    <xf numFmtId="166" fontId="4" fillId="2" borderId="1" xfId="0" applyNumberFormat="1" applyFont="1" applyFill="1" applyBorder="1" applyAlignment="1">
      <alignment horizontal="center" wrapText="1"/>
    </xf>
    <xf numFmtId="0" fontId="4" fillId="2" borderId="1" xfId="0" applyFont="1" applyFill="1" applyBorder="1" applyAlignment="1">
      <alignment horizontal="center" wrapText="1"/>
    </xf>
    <xf numFmtId="166" fontId="4" fillId="2" borderId="29" xfId="0" applyNumberFormat="1" applyFont="1" applyFill="1" applyBorder="1" applyAlignment="1">
      <alignment horizontal="center" wrapText="1"/>
    </xf>
    <xf numFmtId="166" fontId="4" fillId="2" borderId="54" xfId="0" applyNumberFormat="1" applyFont="1" applyFill="1" applyBorder="1" applyAlignment="1">
      <alignment horizontal="center" wrapText="1"/>
    </xf>
    <xf numFmtId="0" fontId="4" fillId="2" borderId="54" xfId="0" applyFont="1" applyFill="1" applyBorder="1" applyAlignment="1">
      <alignment horizontal="center" wrapText="1"/>
    </xf>
    <xf numFmtId="0" fontId="7" fillId="3" borderId="53" xfId="0" applyFont="1" applyFill="1" applyBorder="1" applyAlignment="1">
      <alignment horizontal="center" wrapText="1"/>
    </xf>
    <xf numFmtId="0" fontId="7" fillId="3" borderId="54" xfId="0" applyFont="1" applyFill="1" applyBorder="1" applyAlignment="1">
      <alignment horizontal="center" wrapText="1"/>
    </xf>
    <xf numFmtId="0" fontId="4" fillId="3" borderId="54" xfId="0" applyFont="1" applyFill="1" applyBorder="1" applyAlignment="1">
      <alignment horizontal="center" wrapText="1"/>
    </xf>
    <xf numFmtId="0" fontId="4" fillId="3" borderId="13" xfId="0" quotePrefix="1" applyFont="1" applyFill="1" applyBorder="1" applyAlignment="1">
      <alignment horizontal="center" wrapText="1"/>
    </xf>
    <xf numFmtId="0" fontId="7" fillId="3" borderId="29" xfId="0" applyFont="1" applyFill="1" applyBorder="1" applyAlignment="1">
      <alignment horizontal="center" wrapText="1"/>
    </xf>
    <xf numFmtId="0" fontId="0" fillId="0" borderId="17" xfId="0" quotePrefix="1" applyBorder="1" applyAlignment="1">
      <alignment horizontal="left"/>
    </xf>
    <xf numFmtId="0" fontId="0" fillId="0" borderId="4" xfId="0" applyBorder="1" applyAlignment="1">
      <alignment horizontal="left"/>
    </xf>
    <xf numFmtId="49" fontId="0" fillId="0" borderId="1" xfId="0" quotePrefix="1" applyNumberFormat="1" applyBorder="1"/>
    <xf numFmtId="0" fontId="7" fillId="0" borderId="0" xfId="0" applyFont="1" applyAlignment="1">
      <alignment horizontal="center" vertical="center"/>
    </xf>
    <xf numFmtId="166" fontId="13" fillId="0" borderId="0" xfId="0" applyNumberFormat="1" applyFont="1" applyAlignment="1">
      <alignment horizontal="center" wrapText="1"/>
    </xf>
    <xf numFmtId="166" fontId="6" fillId="0" borderId="0" xfId="0" applyNumberFormat="1" applyFont="1" applyAlignment="1">
      <alignment horizontal="center"/>
    </xf>
    <xf numFmtId="0" fontId="14" fillId="0" borderId="0" xfId="0" applyFont="1" applyAlignment="1">
      <alignment wrapText="1"/>
    </xf>
    <xf numFmtId="166" fontId="7" fillId="0" borderId="1" xfId="0" applyNumberFormat="1" applyFont="1" applyBorder="1" applyAlignment="1">
      <alignment horizontal="center" wrapText="1"/>
    </xf>
    <xf numFmtId="166" fontId="13" fillId="0" borderId="1" xfId="0" applyNumberFormat="1" applyFont="1" applyBorder="1" applyAlignment="1">
      <alignment horizontal="center" wrapText="1"/>
    </xf>
    <xf numFmtId="0" fontId="7" fillId="0" borderId="0" xfId="0" applyFont="1" applyAlignment="1">
      <alignment wrapText="1"/>
    </xf>
    <xf numFmtId="0" fontId="6" fillId="4" borderId="1" xfId="0" applyFont="1" applyFill="1" applyBorder="1" applyAlignment="1">
      <alignment horizontal="left" wrapText="1"/>
    </xf>
    <xf numFmtId="0" fontId="7" fillId="4" borderId="1" xfId="0" applyFont="1" applyFill="1" applyBorder="1" applyAlignment="1">
      <alignment horizontal="center" wrapText="1"/>
    </xf>
    <xf numFmtId="0" fontId="6" fillId="4" borderId="1" xfId="0" applyFont="1" applyFill="1" applyBorder="1" applyAlignment="1">
      <alignment wrapText="1"/>
    </xf>
    <xf numFmtId="3" fontId="18" fillId="4" borderId="1" xfId="0" applyNumberFormat="1" applyFont="1" applyFill="1" applyBorder="1" applyAlignment="1">
      <alignment horizontal="right" wrapText="1"/>
    </xf>
    <xf numFmtId="166" fontId="6" fillId="4" borderId="1" xfId="0" applyNumberFormat="1" applyFont="1" applyFill="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center" wrapText="1"/>
    </xf>
    <xf numFmtId="166" fontId="6" fillId="0" borderId="1" xfId="0" applyNumberFormat="1" applyFont="1" applyBorder="1" applyAlignment="1">
      <alignment horizontal="right" wrapText="1"/>
    </xf>
    <xf numFmtId="4" fontId="6" fillId="0" borderId="1" xfId="0" applyNumberFormat="1" applyFont="1" applyBorder="1" applyAlignment="1">
      <alignment horizontal="right" wrapText="1"/>
    </xf>
    <xf numFmtId="0" fontId="14" fillId="0" borderId="0" xfId="0" applyFont="1"/>
    <xf numFmtId="0" fontId="6" fillId="0" borderId="1" xfId="0" applyFont="1" applyBorder="1" applyAlignment="1">
      <alignment wrapText="1"/>
    </xf>
    <xf numFmtId="0" fontId="7" fillId="0" borderId="0" xfId="0" applyFont="1" applyAlignment="1">
      <alignment horizontal="left" vertical="top"/>
    </xf>
    <xf numFmtId="166" fontId="18" fillId="0" borderId="0" xfId="0" applyNumberFormat="1" applyFont="1" applyAlignment="1">
      <alignment horizontal="right"/>
    </xf>
    <xf numFmtId="10" fontId="18" fillId="0" borderId="0" xfId="0" applyNumberFormat="1" applyFont="1" applyAlignment="1">
      <alignment horizontal="right"/>
    </xf>
    <xf numFmtId="3" fontId="6" fillId="0" borderId="0" xfId="0" applyNumberFormat="1" applyFont="1" applyProtection="1">
      <protection locked="0"/>
    </xf>
    <xf numFmtId="0" fontId="16" fillId="0" borderId="0" xfId="0" applyFont="1" applyAlignment="1">
      <alignment vertical="center"/>
    </xf>
    <xf numFmtId="0" fontId="17" fillId="0" borderId="9" xfId="0" applyFont="1" applyBorder="1"/>
    <xf numFmtId="0" fontId="7" fillId="0" borderId="1" xfId="0" applyFont="1" applyBorder="1" applyAlignment="1">
      <alignment horizontal="left" vertical="top" wrapText="1"/>
    </xf>
    <xf numFmtId="0" fontId="13" fillId="0" borderId="1" xfId="0" applyFont="1" applyBorder="1" applyAlignment="1">
      <alignment wrapText="1"/>
    </xf>
    <xf numFmtId="165"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9" fontId="7" fillId="0" borderId="1" xfId="0" applyNumberFormat="1" applyFont="1" applyBorder="1" applyAlignment="1">
      <alignment horizontal="center" wrapText="1"/>
    </xf>
    <xf numFmtId="2" fontId="18" fillId="0" borderId="1" xfId="0" applyNumberFormat="1" applyFont="1" applyBorder="1" applyAlignment="1">
      <alignment horizontal="right" wrapText="1"/>
    </xf>
    <xf numFmtId="166" fontId="6" fillId="0" borderId="1" xfId="0" applyNumberFormat="1" applyFont="1" applyBorder="1"/>
    <xf numFmtId="176" fontId="0" fillId="0" borderId="0" xfId="0" applyNumberFormat="1"/>
    <xf numFmtId="171" fontId="4" fillId="0" borderId="20" xfId="0" applyNumberFormat="1" applyFont="1" applyBorder="1" applyAlignment="1">
      <alignment horizontal="right" wrapText="1"/>
    </xf>
    <xf numFmtId="171" fontId="4" fillId="0" borderId="7" xfId="0" applyNumberFormat="1" applyFont="1" applyBorder="1" applyAlignment="1">
      <alignment horizontal="right" wrapText="1" indent="1"/>
    </xf>
    <xf numFmtId="0" fontId="7" fillId="0" borderId="0" xfId="0" applyFont="1" applyAlignment="1">
      <alignment vertical="center"/>
    </xf>
    <xf numFmtId="164" fontId="6" fillId="0" borderId="1" xfId="1" applyNumberFormat="1" applyFont="1" applyFill="1" applyBorder="1" applyAlignment="1">
      <alignment horizontal="right"/>
    </xf>
    <xf numFmtId="0" fontId="7" fillId="3" borderId="13" xfId="0" applyFont="1" applyFill="1" applyBorder="1" applyAlignment="1">
      <alignment horizontal="center" wrapText="1"/>
    </xf>
    <xf numFmtId="173" fontId="7" fillId="0" borderId="20" xfId="0" applyNumberFormat="1" applyFont="1" applyBorder="1" applyAlignment="1">
      <alignment horizontal="right" wrapText="1"/>
    </xf>
    <xf numFmtId="0" fontId="0" fillId="3" borderId="1" xfId="0" applyFill="1" applyBorder="1"/>
    <xf numFmtId="0" fontId="0" fillId="5" borderId="0" xfId="0" applyFill="1"/>
    <xf numFmtId="0" fontId="0" fillId="3" borderId="0" xfId="0" applyFill="1"/>
    <xf numFmtId="166" fontId="4" fillId="0" borderId="45" xfId="0" applyNumberFormat="1" applyFont="1" applyBorder="1" applyAlignment="1">
      <alignment horizontal="right"/>
    </xf>
    <xf numFmtId="171" fontId="4" fillId="0" borderId="45" xfId="0" quotePrefix="1" applyNumberFormat="1" applyFont="1" applyBorder="1" applyAlignment="1">
      <alignment horizontal="right" wrapText="1"/>
    </xf>
    <xf numFmtId="166" fontId="4" fillId="0" borderId="45" xfId="0" applyNumberFormat="1" applyFont="1" applyBorder="1" applyAlignment="1">
      <alignment horizontal="right" wrapText="1"/>
    </xf>
    <xf numFmtId="0" fontId="4" fillId="5" borderId="0" xfId="0" applyFont="1" applyFill="1"/>
    <xf numFmtId="0" fontId="4" fillId="0" borderId="44" xfId="0" quotePrefix="1" applyFont="1" applyBorder="1" applyAlignment="1">
      <alignment horizontal="right"/>
    </xf>
    <xf numFmtId="0" fontId="4" fillId="0" borderId="46" xfId="0" quotePrefix="1" applyFont="1" applyBorder="1" applyAlignment="1">
      <alignment horizontal="right"/>
    </xf>
    <xf numFmtId="0" fontId="7" fillId="0" borderId="21" xfId="0" applyFont="1" applyBorder="1" applyAlignment="1">
      <alignment horizontal="left"/>
    </xf>
    <xf numFmtId="0" fontId="0" fillId="0" borderId="36" xfId="0" applyBorder="1" applyAlignment="1">
      <alignment horizontal="center"/>
    </xf>
    <xf numFmtId="0" fontId="0" fillId="0" borderId="36" xfId="0" applyBorder="1"/>
    <xf numFmtId="0" fontId="0" fillId="0" borderId="36" xfId="0" applyBorder="1" applyAlignment="1">
      <alignment wrapText="1"/>
    </xf>
    <xf numFmtId="0" fontId="4" fillId="0" borderId="37" xfId="0" applyFont="1" applyBorder="1"/>
    <xf numFmtId="166" fontId="4" fillId="0" borderId="7" xfId="0" applyNumberFormat="1" applyFont="1" applyBorder="1" applyAlignment="1">
      <alignment horizontal="right" indent="1"/>
    </xf>
    <xf numFmtId="166" fontId="4" fillId="0" borderId="19" xfId="0" applyNumberFormat="1" applyFont="1" applyBorder="1" applyAlignment="1">
      <alignment horizontal="right" indent="1"/>
    </xf>
    <xf numFmtId="166" fontId="4" fillId="0" borderId="8" xfId="0" applyNumberFormat="1" applyFont="1" applyBorder="1" applyAlignment="1">
      <alignment horizontal="right" indent="1"/>
    </xf>
    <xf numFmtId="0" fontId="7" fillId="0" borderId="6" xfId="0" applyFont="1" applyBorder="1" applyAlignment="1">
      <alignment horizontal="left"/>
    </xf>
    <xf numFmtId="0" fontId="0" fillId="0" borderId="9" xfId="0" applyBorder="1" applyAlignment="1">
      <alignment horizontal="center"/>
    </xf>
    <xf numFmtId="0" fontId="0" fillId="0" borderId="9" xfId="0" applyBorder="1"/>
    <xf numFmtId="0" fontId="0" fillId="0" borderId="9" xfId="0" applyBorder="1" applyAlignment="1">
      <alignment wrapText="1"/>
    </xf>
    <xf numFmtId="0" fontId="4" fillId="0" borderId="59" xfId="0" applyFont="1" applyBorder="1" applyAlignment="1">
      <alignment horizontal="center" wrapText="1"/>
    </xf>
    <xf numFmtId="166" fontId="0" fillId="0" borderId="23" xfId="0" applyNumberFormat="1" applyBorder="1"/>
    <xf numFmtId="166" fontId="0" fillId="0" borderId="29" xfId="0" applyNumberFormat="1" applyBorder="1"/>
    <xf numFmtId="0" fontId="4" fillId="0" borderId="20" xfId="0" applyFont="1" applyBorder="1"/>
    <xf numFmtId="0" fontId="7" fillId="0" borderId="23" xfId="0" applyFont="1" applyBorder="1" applyAlignment="1">
      <alignment horizontal="center"/>
    </xf>
    <xf numFmtId="166" fontId="4" fillId="0" borderId="39" xfId="0" applyNumberFormat="1" applyFont="1" applyBorder="1" applyAlignment="1">
      <alignment horizontal="right" indent="1"/>
    </xf>
    <xf numFmtId="166" fontId="0" fillId="0" borderId="1" xfId="0" applyNumberFormat="1" applyBorder="1" applyAlignment="1">
      <alignment horizontal="right"/>
    </xf>
    <xf numFmtId="166" fontId="0" fillId="0" borderId="4" xfId="0" applyNumberFormat="1" applyBorder="1" applyAlignment="1">
      <alignment horizontal="right"/>
    </xf>
    <xf numFmtId="174" fontId="0" fillId="0" borderId="5" xfId="0" applyNumberFormat="1" applyBorder="1" applyAlignment="1">
      <alignment horizontal="right"/>
    </xf>
    <xf numFmtId="174" fontId="0" fillId="0" borderId="8" xfId="0" applyNumberFormat="1" applyBorder="1" applyAlignment="1">
      <alignment horizontal="right"/>
    </xf>
    <xf numFmtId="0" fontId="7" fillId="0" borderId="23" xfId="0" applyFont="1" applyBorder="1" applyAlignment="1">
      <alignment horizontal="center" wrapText="1"/>
    </xf>
    <xf numFmtId="0" fontId="0" fillId="0" borderId="1" xfId="0" applyBorder="1" applyAlignment="1">
      <alignment horizontal="center"/>
    </xf>
    <xf numFmtId="0" fontId="0" fillId="0" borderId="1" xfId="0" applyBorder="1"/>
    <xf numFmtId="0" fontId="0" fillId="0" borderId="1" xfId="0" applyBorder="1" applyAlignment="1">
      <alignment wrapText="1"/>
    </xf>
    <xf numFmtId="0" fontId="6" fillId="0" borderId="2" xfId="0" applyFont="1" applyBorder="1"/>
    <xf numFmtId="0" fontId="6" fillId="0" borderId="4" xfId="0" applyFont="1" applyBorder="1"/>
    <xf numFmtId="0" fontId="6" fillId="0" borderId="7" xfId="0" applyFont="1" applyBorder="1"/>
    <xf numFmtId="0" fontId="4" fillId="3" borderId="11" xfId="0" applyFont="1" applyFill="1" applyBorder="1" applyAlignment="1">
      <alignment horizontal="center" wrapText="1"/>
    </xf>
    <xf numFmtId="0" fontId="0" fillId="3" borderId="40" xfId="0" applyFill="1" applyBorder="1" applyAlignment="1">
      <alignment horizontal="center"/>
    </xf>
    <xf numFmtId="0" fontId="0" fillId="3" borderId="40" xfId="0" applyFill="1" applyBorder="1"/>
    <xf numFmtId="0" fontId="0" fillId="3" borderId="40" xfId="0" applyFill="1" applyBorder="1" applyAlignment="1">
      <alignment wrapText="1"/>
    </xf>
    <xf numFmtId="0" fontId="4" fillId="3" borderId="22" xfId="0" applyFont="1" applyFill="1" applyBorder="1"/>
    <xf numFmtId="0" fontId="4" fillId="3" borderId="58" xfId="0" applyFont="1" applyFill="1" applyBorder="1" applyAlignment="1">
      <alignment horizontal="center" wrapText="1"/>
    </xf>
    <xf numFmtId="0" fontId="7" fillId="3" borderId="40" xfId="0" applyFont="1" applyFill="1" applyBorder="1" applyAlignment="1">
      <alignment horizontal="center"/>
    </xf>
    <xf numFmtId="0" fontId="4" fillId="3" borderId="40" xfId="0" applyFont="1" applyFill="1" applyBorder="1" applyAlignment="1">
      <alignment horizontal="center" wrapText="1"/>
    </xf>
    <xf numFmtId="166" fontId="0" fillId="3" borderId="40" xfId="0" applyNumberFormat="1" applyFill="1" applyBorder="1" applyAlignment="1">
      <alignment horizontal="right" indent="1"/>
    </xf>
    <xf numFmtId="166" fontId="4" fillId="3" borderId="22" xfId="0" applyNumberFormat="1" applyFont="1" applyFill="1" applyBorder="1" applyAlignment="1">
      <alignment horizontal="right" indent="1"/>
    </xf>
    <xf numFmtId="0" fontId="7" fillId="3" borderId="9" xfId="0" applyFont="1" applyFill="1" applyBorder="1" applyAlignment="1">
      <alignment horizontal="center"/>
    </xf>
    <xf numFmtId="0" fontId="4" fillId="3" borderId="9" xfId="0" applyFont="1" applyFill="1" applyBorder="1" applyAlignment="1">
      <alignment horizontal="center" wrapText="1"/>
    </xf>
    <xf numFmtId="166" fontId="0" fillId="3" borderId="9" xfId="0" applyNumberFormat="1" applyFill="1" applyBorder="1" applyAlignment="1">
      <alignment horizontal="right" indent="1"/>
    </xf>
    <xf numFmtId="166" fontId="4" fillId="3" borderId="20" xfId="0" applyNumberFormat="1" applyFont="1" applyFill="1" applyBorder="1" applyAlignment="1">
      <alignment horizontal="right" indent="1"/>
    </xf>
    <xf numFmtId="166" fontId="7" fillId="3" borderId="27" xfId="0" applyNumberFormat="1" applyFont="1" applyFill="1" applyBorder="1" applyAlignment="1">
      <alignment horizontal="center"/>
    </xf>
    <xf numFmtId="0" fontId="7" fillId="3" borderId="41" xfId="0" applyFont="1" applyFill="1" applyBorder="1" applyAlignment="1">
      <alignment horizontal="left"/>
    </xf>
    <xf numFmtId="176" fontId="6" fillId="3" borderId="54" xfId="0" applyNumberFormat="1" applyFont="1" applyFill="1" applyBorder="1" applyAlignment="1">
      <alignment horizontal="right" wrapText="1"/>
    </xf>
    <xf numFmtId="176" fontId="4" fillId="0" borderId="19" xfId="1" applyNumberFormat="1" applyFont="1" applyFill="1" applyBorder="1" applyAlignment="1">
      <alignment wrapText="1"/>
    </xf>
    <xf numFmtId="0" fontId="6" fillId="0" borderId="50" xfId="0" applyFont="1" applyBorder="1"/>
    <xf numFmtId="0" fontId="0" fillId="0" borderId="4" xfId="0" quotePrefix="1" applyBorder="1"/>
    <xf numFmtId="0" fontId="0" fillId="0" borderId="5" xfId="0" applyBorder="1"/>
    <xf numFmtId="0" fontId="0" fillId="0" borderId="53" xfId="0" quotePrefix="1" applyBorder="1"/>
    <xf numFmtId="0" fontId="0" fillId="0" borderId="54" xfId="0" applyBorder="1"/>
    <xf numFmtId="49" fontId="0" fillId="0" borderId="54" xfId="0" quotePrefix="1" applyNumberFormat="1" applyBorder="1"/>
    <xf numFmtId="0" fontId="0" fillId="0" borderId="38" xfId="0" applyBorder="1"/>
    <xf numFmtId="0" fontId="7" fillId="0" borderId="0" xfId="0" applyFont="1" applyAlignment="1">
      <alignment horizontal="left" wrapText="1"/>
    </xf>
    <xf numFmtId="0" fontId="4" fillId="0" borderId="0" xfId="0" applyFont="1" applyAlignment="1">
      <alignment horizontal="right" indent="1"/>
    </xf>
    <xf numFmtId="171" fontId="6" fillId="0" borderId="0" xfId="0" applyNumberFormat="1" applyFont="1" applyAlignment="1">
      <alignment horizontal="right"/>
    </xf>
    <xf numFmtId="0" fontId="6" fillId="0" borderId="0" xfId="0" quotePrefix="1" applyFont="1" applyAlignment="1">
      <alignment horizontal="left"/>
    </xf>
    <xf numFmtId="166" fontId="6" fillId="0" borderId="0" xfId="0" applyNumberFormat="1" applyFont="1" applyAlignment="1">
      <alignment horizontal="left"/>
    </xf>
    <xf numFmtId="167" fontId="22" fillId="0" borderId="0" xfId="0" applyNumberFormat="1" applyFont="1"/>
    <xf numFmtId="0" fontId="4" fillId="0" borderId="18" xfId="0" applyFont="1" applyBorder="1"/>
    <xf numFmtId="0" fontId="11" fillId="0" borderId="18" xfId="0" applyFont="1" applyBorder="1"/>
    <xf numFmtId="166" fontId="13" fillId="0" borderId="0" xfId="0" quotePrefix="1" applyNumberFormat="1" applyFont="1" applyAlignment="1">
      <alignment horizontal="center" wrapText="1"/>
    </xf>
    <xf numFmtId="174" fontId="4" fillId="0" borderId="45" xfId="0" applyNumberFormat="1" applyFont="1" applyBorder="1" applyAlignment="1">
      <alignment horizontal="right" wrapText="1"/>
    </xf>
    <xf numFmtId="0" fontId="5" fillId="0" borderId="15" xfId="0" applyFont="1" applyBorder="1"/>
    <xf numFmtId="166" fontId="0" fillId="3" borderId="4" xfId="0" applyNumberFormat="1" applyFill="1" applyBorder="1" applyAlignment="1">
      <alignment horizontal="right"/>
    </xf>
    <xf numFmtId="166" fontId="0" fillId="3" borderId="1" xfId="0" applyNumberFormat="1" applyFill="1" applyBorder="1" applyAlignment="1">
      <alignment horizontal="right"/>
    </xf>
    <xf numFmtId="166" fontId="0" fillId="3" borderId="7" xfId="0" applyNumberFormat="1" applyFill="1" applyBorder="1" applyAlignment="1">
      <alignment horizontal="right"/>
    </xf>
    <xf numFmtId="166" fontId="0" fillId="3" borderId="19" xfId="0" applyNumberFormat="1" applyFill="1" applyBorder="1" applyAlignment="1">
      <alignment horizontal="right"/>
    </xf>
    <xf numFmtId="0" fontId="0" fillId="0" borderId="29" xfId="0" applyBorder="1"/>
    <xf numFmtId="0" fontId="4" fillId="0" borderId="60" xfId="0" applyFont="1" applyBorder="1"/>
    <xf numFmtId="0" fontId="12" fillId="0" borderId="60" xfId="0" applyFont="1" applyBorder="1"/>
    <xf numFmtId="0" fontId="12" fillId="0" borderId="12" xfId="0" quotePrefix="1" applyFont="1" applyBorder="1"/>
    <xf numFmtId="0" fontId="7" fillId="0" borderId="31" xfId="8" applyFont="1" applyBorder="1" applyAlignment="1">
      <alignment horizontal="center" wrapText="1"/>
    </xf>
    <xf numFmtId="0" fontId="4" fillId="0" borderId="44" xfId="0" applyFont="1" applyBorder="1"/>
    <xf numFmtId="0" fontId="4" fillId="0" borderId="45" xfId="0" applyFont="1" applyBorder="1"/>
    <xf numFmtId="175" fontId="6" fillId="0" borderId="0" xfId="0" applyNumberFormat="1" applyFont="1" applyAlignment="1">
      <alignment horizontal="left"/>
    </xf>
    <xf numFmtId="1" fontId="0" fillId="0" borderId="0" xfId="0" applyNumberFormat="1" applyAlignment="1">
      <alignment horizontal="left"/>
    </xf>
    <xf numFmtId="165" fontId="13" fillId="0" borderId="1" xfId="0" applyNumberFormat="1" applyFont="1" applyBorder="1" applyAlignment="1">
      <alignment horizontal="center" wrapText="1"/>
    </xf>
    <xf numFmtId="3" fontId="7" fillId="0" borderId="1" xfId="0" applyNumberFormat="1" applyFont="1" applyBorder="1" applyAlignment="1">
      <alignment horizontal="center" wrapText="1"/>
    </xf>
    <xf numFmtId="166" fontId="13" fillId="0" borderId="1" xfId="0" quotePrefix="1" applyNumberFormat="1" applyFont="1" applyBorder="1" applyAlignment="1">
      <alignment horizontal="center" wrapText="1"/>
    </xf>
    <xf numFmtId="0" fontId="7" fillId="0" borderId="1" xfId="0" applyFont="1" applyBorder="1" applyAlignment="1">
      <alignment horizontal="left" wrapText="1"/>
    </xf>
    <xf numFmtId="0" fontId="7" fillId="0" borderId="1" xfId="0" applyFont="1" applyBorder="1" applyAlignment="1">
      <alignment wrapText="1"/>
    </xf>
    <xf numFmtId="168" fontId="7" fillId="0" borderId="1" xfId="0" applyNumberFormat="1" applyFont="1" applyBorder="1" applyAlignment="1">
      <alignment horizontal="center" wrapText="1"/>
    </xf>
    <xf numFmtId="0" fontId="5" fillId="0" borderId="13" xfId="0" applyFont="1" applyBorder="1"/>
    <xf numFmtId="0" fontId="0" fillId="0" borderId="16" xfId="0" applyBorder="1"/>
    <xf numFmtId="0" fontId="5" fillId="0" borderId="14" xfId="0" applyFont="1" applyBorder="1"/>
    <xf numFmtId="0" fontId="6" fillId="0" borderId="0" xfId="0" quotePrefix="1" applyFont="1"/>
    <xf numFmtId="0" fontId="7" fillId="0" borderId="14" xfId="0" applyFont="1" applyBorder="1" applyAlignment="1">
      <alignment horizontal="right" indent="1"/>
    </xf>
    <xf numFmtId="169" fontId="7" fillId="0" borderId="0" xfId="0" applyNumberFormat="1" applyFont="1" applyAlignment="1">
      <alignment horizontal="left"/>
    </xf>
    <xf numFmtId="0" fontId="7" fillId="0" borderId="15" xfId="0" applyFont="1" applyBorder="1" applyAlignment="1">
      <alignment horizontal="right" indent="1"/>
    </xf>
    <xf numFmtId="169" fontId="7" fillId="0" borderId="11" xfId="0" applyNumberFormat="1" applyFont="1" applyBorder="1" applyAlignment="1">
      <alignment horizontal="left"/>
    </xf>
    <xf numFmtId="0" fontId="6" fillId="0" borderId="11" xfId="0" quotePrefix="1" applyFont="1" applyBorder="1"/>
    <xf numFmtId="0" fontId="6" fillId="0" borderId="11" xfId="0" applyFont="1" applyBorder="1"/>
    <xf numFmtId="0" fontId="0" fillId="0" borderId="57" xfId="0" quotePrefix="1" applyBorder="1" applyAlignment="1">
      <alignment horizontal="left"/>
    </xf>
    <xf numFmtId="0" fontId="0" fillId="0" borderId="53" xfId="0" applyBorder="1" applyAlignment="1">
      <alignment horizontal="left"/>
    </xf>
    <xf numFmtId="166" fontId="0" fillId="3" borderId="53" xfId="0" applyNumberFormat="1" applyFill="1" applyBorder="1" applyAlignment="1">
      <alignment horizontal="right"/>
    </xf>
    <xf numFmtId="166" fontId="0" fillId="3" borderId="54" xfId="0" applyNumberFormat="1" applyFill="1" applyBorder="1" applyAlignment="1">
      <alignment horizontal="right"/>
    </xf>
    <xf numFmtId="166" fontId="0" fillId="0" borderId="54" xfId="0" applyNumberFormat="1" applyBorder="1" applyAlignment="1">
      <alignment horizontal="right"/>
    </xf>
    <xf numFmtId="174" fontId="0" fillId="0" borderId="38" xfId="0" applyNumberFormat="1" applyBorder="1" applyAlignment="1">
      <alignment horizontal="right"/>
    </xf>
    <xf numFmtId="0" fontId="4" fillId="0" borderId="44" xfId="0" applyFont="1" applyBorder="1" applyAlignment="1">
      <alignment horizontal="left"/>
    </xf>
    <xf numFmtId="0" fontId="4" fillId="0" borderId="27" xfId="0" applyFont="1" applyBorder="1" applyAlignment="1">
      <alignment horizontal="left"/>
    </xf>
    <xf numFmtId="0" fontId="4" fillId="0" borderId="28" xfId="0" applyFont="1" applyBorder="1" applyAlignment="1">
      <alignment horizontal="left"/>
    </xf>
    <xf numFmtId="0" fontId="4" fillId="0" borderId="58" xfId="0" applyFont="1" applyBorder="1" applyAlignment="1">
      <alignment horizontal="center" wrapText="1"/>
    </xf>
    <xf numFmtId="0" fontId="7" fillId="0" borderId="49" xfId="0" applyFont="1" applyBorder="1" applyAlignment="1">
      <alignment horizontal="center" wrapText="1"/>
    </xf>
    <xf numFmtId="0" fontId="0" fillId="3" borderId="5" xfId="0" applyFill="1" applyBorder="1"/>
    <xf numFmtId="0" fontId="4" fillId="0" borderId="19" xfId="0" applyFont="1" applyBorder="1" applyAlignment="1">
      <alignment horizontal="right"/>
    </xf>
    <xf numFmtId="174" fontId="4" fillId="0" borderId="46" xfId="0" applyNumberFormat="1" applyFont="1" applyBorder="1" applyAlignment="1">
      <alignment horizontal="right" wrapText="1"/>
    </xf>
    <xf numFmtId="0" fontId="7" fillId="3" borderId="61" xfId="0" applyFont="1" applyFill="1" applyBorder="1" applyAlignment="1">
      <alignment horizontal="center" wrapText="1"/>
    </xf>
    <xf numFmtId="0" fontId="7" fillId="3" borderId="14" xfId="0" applyFont="1" applyFill="1" applyBorder="1" applyAlignment="1">
      <alignment horizontal="center" wrapText="1"/>
    </xf>
    <xf numFmtId="0" fontId="0" fillId="3" borderId="42" xfId="0" applyFill="1" applyBorder="1"/>
    <xf numFmtId="0" fontId="0" fillId="3" borderId="43" xfId="0" applyFill="1" applyBorder="1"/>
    <xf numFmtId="0" fontId="7" fillId="0" borderId="7" xfId="0" quotePrefix="1" applyFont="1" applyBorder="1" applyAlignment="1">
      <alignment horizontal="center" wrapText="1"/>
    </xf>
    <xf numFmtId="0" fontId="7" fillId="0" borderId="19" xfId="0" applyFont="1" applyBorder="1" applyAlignment="1">
      <alignment horizontal="center" wrapText="1"/>
    </xf>
    <xf numFmtId="0" fontId="4" fillId="0" borderId="19" xfId="0" applyFont="1" applyBorder="1" applyAlignment="1">
      <alignment horizontal="center" wrapText="1"/>
    </xf>
    <xf numFmtId="0" fontId="7" fillId="0" borderId="19" xfId="0" quotePrefix="1" applyFont="1" applyBorder="1" applyAlignment="1">
      <alignment horizontal="center" wrapText="1"/>
    </xf>
    <xf numFmtId="0" fontId="7" fillId="0" borderId="8" xfId="0" applyFont="1" applyBorder="1" applyAlignment="1">
      <alignment horizontal="center" wrapText="1"/>
    </xf>
    <xf numFmtId="0" fontId="25" fillId="0" borderId="3" xfId="0" applyFont="1" applyBorder="1" applyAlignment="1">
      <alignment horizontal="center" wrapText="1"/>
    </xf>
    <xf numFmtId="49" fontId="0" fillId="0" borderId="9" xfId="0" quotePrefix="1" applyNumberFormat="1" applyBorder="1"/>
    <xf numFmtId="49" fontId="0" fillId="0" borderId="13" xfId="0" quotePrefix="1" applyNumberFormat="1" applyBorder="1"/>
    <xf numFmtId="0" fontId="4" fillId="0" borderId="24" xfId="0" applyFont="1" applyBorder="1" applyAlignment="1">
      <alignment horizontal="center" wrapText="1"/>
    </xf>
    <xf numFmtId="0" fontId="4" fillId="0" borderId="36" xfId="0" applyFont="1" applyBorder="1"/>
    <xf numFmtId="0" fontId="4" fillId="0" borderId="36" xfId="0" applyFont="1" applyBorder="1" applyAlignment="1">
      <alignment horizontal="center"/>
    </xf>
    <xf numFmtId="0" fontId="0" fillId="0" borderId="37" xfId="0" applyBorder="1"/>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166" fontId="0" fillId="0" borderId="27" xfId="0" applyNumberFormat="1" applyBorder="1" applyAlignment="1">
      <alignment horizontal="center" wrapText="1"/>
    </xf>
    <xf numFmtId="166" fontId="0" fillId="0" borderId="28" xfId="0" applyNumberFormat="1" applyBorder="1" applyAlignment="1">
      <alignment horizontal="center" wrapText="1"/>
    </xf>
    <xf numFmtId="174" fontId="4" fillId="0" borderId="26" xfId="0" applyNumberFormat="1" applyFont="1" applyBorder="1" applyAlignment="1">
      <alignment horizontal="center" wrapText="1"/>
    </xf>
    <xf numFmtId="174" fontId="4" fillId="0" borderId="27" xfId="0" applyNumberFormat="1" applyFont="1" applyBorder="1" applyAlignment="1">
      <alignment horizontal="center" wrapText="1"/>
    </xf>
    <xf numFmtId="174" fontId="4" fillId="0" borderId="28" xfId="0" applyNumberFormat="1" applyFont="1" applyBorder="1" applyAlignment="1">
      <alignment horizontal="center" wrapText="1"/>
    </xf>
    <xf numFmtId="1" fontId="0" fillId="0" borderId="26" xfId="0" applyNumberFormat="1" applyBorder="1" applyAlignment="1">
      <alignment horizontal="center" wrapText="1"/>
    </xf>
    <xf numFmtId="1" fontId="0" fillId="0" borderId="27" xfId="0" applyNumberFormat="1" applyBorder="1" applyAlignment="1">
      <alignment horizontal="center" wrapText="1"/>
    </xf>
    <xf numFmtId="1" fontId="0" fillId="0" borderId="28" xfId="0" applyNumberFormat="1" applyBorder="1" applyAlignment="1">
      <alignment horizontal="center" wrapText="1"/>
    </xf>
    <xf numFmtId="1" fontId="4" fillId="0" borderId="26" xfId="0" applyNumberFormat="1" applyFont="1" applyBorder="1" applyAlignment="1">
      <alignment horizontal="center" wrapText="1"/>
    </xf>
    <xf numFmtId="1" fontId="4" fillId="0" borderId="27" xfId="0" applyNumberFormat="1" applyFont="1" applyBorder="1" applyAlignment="1">
      <alignment horizontal="center" wrapText="1"/>
    </xf>
    <xf numFmtId="1" fontId="4" fillId="0" borderId="28" xfId="0" applyNumberFormat="1" applyFont="1" applyBorder="1" applyAlignment="1">
      <alignment horizontal="center" wrapText="1"/>
    </xf>
    <xf numFmtId="0" fontId="7" fillId="0" borderId="0" xfId="8" applyFont="1" applyAlignment="1">
      <alignment horizontal="center"/>
    </xf>
    <xf numFmtId="0" fontId="4" fillId="0" borderId="45" xfId="0" applyFont="1" applyBorder="1" applyAlignment="1">
      <alignment horizontal="left"/>
    </xf>
    <xf numFmtId="0" fontId="4" fillId="0" borderId="46" xfId="0" applyFont="1" applyBorder="1" applyAlignment="1">
      <alignment horizontal="left"/>
    </xf>
    <xf numFmtId="0" fontId="7" fillId="0" borderId="50" xfId="8" applyFont="1" applyBorder="1" applyAlignment="1">
      <alignment horizontal="center" vertical="center" wrapText="1"/>
    </xf>
    <xf numFmtId="0" fontId="7" fillId="0" borderId="51" xfId="8" applyFont="1" applyBorder="1" applyAlignment="1">
      <alignment horizontal="center" vertical="center" wrapText="1"/>
    </xf>
    <xf numFmtId="0" fontId="7" fillId="0" borderId="52" xfId="8"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left"/>
    </xf>
    <xf numFmtId="0" fontId="21"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7" fillId="0" borderId="9" xfId="0" applyFont="1" applyBorder="1" applyAlignment="1">
      <alignment horizontal="center"/>
    </xf>
    <xf numFmtId="0" fontId="17" fillId="0" borderId="40" xfId="0" applyFont="1" applyBorder="1" applyAlignment="1">
      <alignment horizontal="center"/>
    </xf>
    <xf numFmtId="0" fontId="17" fillId="0" borderId="23" xfId="0" applyFont="1" applyBorder="1" applyAlignment="1">
      <alignment horizont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4" fillId="0" borderId="56" xfId="0" applyFont="1" applyBorder="1" applyAlignment="1">
      <alignment horizontal="left"/>
    </xf>
    <xf numFmtId="0" fontId="4" fillId="0" borderId="16" xfId="0" applyFont="1" applyBorder="1" applyAlignment="1">
      <alignment horizontal="center"/>
    </xf>
    <xf numFmtId="166" fontId="7" fillId="0" borderId="24" xfId="0" applyNumberFormat="1" applyFont="1" applyBorder="1" applyAlignment="1">
      <alignment horizontal="center"/>
    </xf>
    <xf numFmtId="166" fontId="7" fillId="0" borderId="58" xfId="0" applyNumberFormat="1" applyFont="1" applyBorder="1" applyAlignment="1">
      <alignment horizontal="center"/>
    </xf>
    <xf numFmtId="166" fontId="7" fillId="0" borderId="25" xfId="0" applyNumberFormat="1" applyFont="1" applyBorder="1" applyAlignment="1">
      <alignment horizontal="center"/>
    </xf>
    <xf numFmtId="166" fontId="7" fillId="0" borderId="30" xfId="0" applyNumberFormat="1" applyFont="1" applyBorder="1" applyAlignment="1">
      <alignment horizontal="center"/>
    </xf>
    <xf numFmtId="166" fontId="7" fillId="0" borderId="31" xfId="0" applyNumberFormat="1" applyFont="1" applyBorder="1" applyAlignment="1">
      <alignment horizontal="center"/>
    </xf>
    <xf numFmtId="166" fontId="7" fillId="0" borderId="32" xfId="0" applyNumberFormat="1" applyFont="1" applyBorder="1" applyAlignment="1">
      <alignment horizontal="center"/>
    </xf>
    <xf numFmtId="166" fontId="7" fillId="0" borderId="2" xfId="0" applyNumberFormat="1" applyFont="1" applyBorder="1" applyAlignment="1">
      <alignment horizontal="center"/>
    </xf>
    <xf numFmtId="166" fontId="7" fillId="0" borderId="6" xfId="0" applyNumberFormat="1" applyFont="1" applyBorder="1" applyAlignment="1">
      <alignment horizontal="center"/>
    </xf>
    <xf numFmtId="0" fontId="7" fillId="0" borderId="26" xfId="0" applyFont="1" applyBorder="1" applyAlignment="1">
      <alignment horizontal="center" vertical="top"/>
    </xf>
    <xf numFmtId="0" fontId="7" fillId="0" borderId="27" xfId="0" applyFont="1" applyBorder="1" applyAlignment="1">
      <alignment horizontal="center" vertical="top"/>
    </xf>
    <xf numFmtId="0" fontId="7" fillId="0" borderId="28" xfId="0" applyFont="1" applyBorder="1" applyAlignment="1">
      <alignment horizontal="center" vertical="top"/>
    </xf>
    <xf numFmtId="166" fontId="7" fillId="0" borderId="26" xfId="0" applyNumberFormat="1" applyFont="1" applyBorder="1" applyAlignment="1">
      <alignment horizontal="center"/>
    </xf>
    <xf numFmtId="166" fontId="7" fillId="0" borderId="28" xfId="0" applyNumberFormat="1" applyFont="1" applyBorder="1" applyAlignment="1">
      <alignment horizontal="center"/>
    </xf>
    <xf numFmtId="166" fontId="7" fillId="0" borderId="27" xfId="0" applyNumberFormat="1" applyFont="1" applyBorder="1" applyAlignment="1">
      <alignment horizontal="center"/>
    </xf>
    <xf numFmtId="0" fontId="6" fillId="0" borderId="24" xfId="0" applyFont="1" applyBorder="1" applyAlignment="1">
      <alignment horizontal="center"/>
    </xf>
    <xf numFmtId="0" fontId="6" fillId="0" borderId="36" xfId="0" applyFont="1" applyBorder="1" applyAlignment="1">
      <alignment horizontal="center"/>
    </xf>
    <xf numFmtId="0" fontId="7" fillId="0" borderId="0" xfId="0" applyFont="1" applyAlignment="1">
      <alignment horizontal="left" wrapText="1"/>
    </xf>
    <xf numFmtId="0" fontId="7" fillId="0" borderId="0" xfId="0" quotePrefix="1" applyFont="1" applyAlignment="1">
      <alignment horizontal="left" wrapText="1"/>
    </xf>
    <xf numFmtId="166" fontId="12" fillId="0" borderId="0" xfId="0" applyNumberFormat="1" applyFont="1" applyAlignment="1">
      <alignment horizontal="center" wrapText="1"/>
    </xf>
    <xf numFmtId="166" fontId="7" fillId="0" borderId="51" xfId="0" applyNumberFormat="1" applyFont="1" applyBorder="1" applyAlignment="1">
      <alignment horizontal="center"/>
    </xf>
    <xf numFmtId="166" fontId="7" fillId="0" borderId="52" xfId="0" applyNumberFormat="1" applyFont="1" applyBorder="1" applyAlignment="1">
      <alignment horizontal="center"/>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F6F64-024B-4475-AE67-C64A42565D71}" name="Table1" displayName="Table1" ref="A1:A3" totalsRowShown="0">
  <autoFilter ref="A1:A3" xr:uid="{6B6BA320-BC07-4615-9F56-9B6153B2347E}"/>
  <tableColumns count="1">
    <tableColumn id="1" xr3:uid="{5B3EBC84-F71A-4539-A670-FD3573224236}" name="Da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0"/>
  <sheetViews>
    <sheetView tabSelected="1" zoomScaleNormal="100" workbookViewId="0"/>
  </sheetViews>
  <sheetFormatPr defaultColWidth="9.15625" defaultRowHeight="14.4" x14ac:dyDescent="0.55000000000000004"/>
  <cols>
    <col min="1" max="1" width="176" customWidth="1"/>
  </cols>
  <sheetData>
    <row r="1" spans="1:1" ht="18.3" x14ac:dyDescent="0.55000000000000004">
      <c r="A1" s="1" t="s">
        <v>0</v>
      </c>
    </row>
    <row r="2" spans="1:1" x14ac:dyDescent="0.55000000000000004">
      <c r="A2" s="20"/>
    </row>
    <row r="3" spans="1:1" ht="15.6" x14ac:dyDescent="0.55000000000000004">
      <c r="A3" s="28" t="s">
        <v>1</v>
      </c>
    </row>
    <row r="4" spans="1:1" ht="15.6" x14ac:dyDescent="0.55000000000000004">
      <c r="A4" s="28" t="s">
        <v>2</v>
      </c>
    </row>
    <row r="5" spans="1:1" ht="15.6" x14ac:dyDescent="0.55000000000000004">
      <c r="A5" s="28" t="s">
        <v>216</v>
      </c>
    </row>
    <row r="6" spans="1:1" ht="15.6" x14ac:dyDescent="0.55000000000000004">
      <c r="A6" s="28"/>
    </row>
    <row r="7" spans="1:1" ht="15.75" customHeight="1" x14ac:dyDescent="0.55000000000000004">
      <c r="A7" s="28" t="s">
        <v>3</v>
      </c>
    </row>
    <row r="8" spans="1:1" ht="15.75" customHeight="1" x14ac:dyDescent="0.55000000000000004">
      <c r="A8" s="28"/>
    </row>
    <row r="9" spans="1:1" ht="15.75" customHeight="1" x14ac:dyDescent="0.55000000000000004">
      <c r="A9" s="28" t="s">
        <v>4</v>
      </c>
    </row>
    <row r="10" spans="1:1" ht="15.75" customHeight="1" x14ac:dyDescent="0.55000000000000004">
      <c r="A10" s="28" t="s">
        <v>5</v>
      </c>
    </row>
    <row r="11" spans="1:1" ht="15.75" customHeight="1" x14ac:dyDescent="0.55000000000000004">
      <c r="A11" s="28"/>
    </row>
    <row r="12" spans="1:1" ht="15.75" customHeight="1" x14ac:dyDescent="0.55000000000000004">
      <c r="A12" s="28" t="s">
        <v>6</v>
      </c>
    </row>
    <row r="13" spans="1:1" ht="15.75" customHeight="1" x14ac:dyDescent="0.55000000000000004">
      <c r="A13" s="28" t="s">
        <v>7</v>
      </c>
    </row>
    <row r="14" spans="1:1" ht="15.75" customHeight="1" x14ac:dyDescent="0.55000000000000004">
      <c r="A14" s="28" t="s">
        <v>8</v>
      </c>
    </row>
    <row r="15" spans="1:1" ht="15.75" customHeight="1" x14ac:dyDescent="0.55000000000000004">
      <c r="A15" s="28" t="s">
        <v>9</v>
      </c>
    </row>
    <row r="16" spans="1:1" ht="15.75" customHeight="1" x14ac:dyDescent="0.55000000000000004">
      <c r="A16" s="28"/>
    </row>
    <row r="17" spans="1:9" ht="15.75" customHeight="1" x14ac:dyDescent="0.55000000000000004">
      <c r="A17" s="28" t="s">
        <v>10</v>
      </c>
    </row>
    <row r="18" spans="1:9" ht="15.75" customHeight="1" x14ac:dyDescent="0.55000000000000004">
      <c r="A18" s="28" t="s">
        <v>11</v>
      </c>
    </row>
    <row r="19" spans="1:9" ht="15.75" customHeight="1" x14ac:dyDescent="0.55000000000000004">
      <c r="A19" s="28" t="s">
        <v>12</v>
      </c>
    </row>
    <row r="20" spans="1:9" ht="15.75" customHeight="1" x14ac:dyDescent="0.55000000000000004">
      <c r="A20" s="28" t="s">
        <v>13</v>
      </c>
    </row>
    <row r="21" spans="1:9" ht="15.75" customHeight="1" x14ac:dyDescent="0.55000000000000004">
      <c r="A21" s="28"/>
    </row>
    <row r="22" spans="1:9" ht="14.5" customHeight="1" x14ac:dyDescent="0.55000000000000004">
      <c r="A22" s="28" t="str">
        <f>CONCATENATE("Enter data from ",FilingYear," FCC Form 499-A, and ",FilingYear," FCC Form 159-W if available, in the relevant cells in the Exogenous Costs tab to calculate the exogenous cost adjustments for TRS,")</f>
        <v>Enter data from 2024 FCC Form 499-A, and 2024 FCC Form 159-W if available, in the relevant cells in the Exogenous Costs tab to calculate the exogenous cost adjustments for TRS,</v>
      </c>
      <c r="B22" s="39"/>
      <c r="C22" s="39"/>
      <c r="D22" s="39"/>
      <c r="E22" s="39"/>
      <c r="F22" s="39"/>
      <c r="G22" s="39"/>
      <c r="H22" s="39"/>
      <c r="I22" s="39"/>
    </row>
    <row r="23" spans="1:9" ht="14.5" customHeight="1" x14ac:dyDescent="0.55000000000000004">
      <c r="A23" s="28" t="s">
        <v>14</v>
      </c>
      <c r="B23" s="39"/>
      <c r="C23" s="39"/>
      <c r="D23" s="39"/>
      <c r="E23" s="39"/>
      <c r="F23" s="39"/>
      <c r="G23" s="39"/>
      <c r="H23" s="39"/>
      <c r="I23" s="39"/>
    </row>
    <row r="24" spans="1:9" ht="15.75" customHeight="1" x14ac:dyDescent="0.55000000000000004">
      <c r="A24" s="28"/>
    </row>
    <row r="25" spans="1:9" ht="15.75" customHeight="1" x14ac:dyDescent="0.55000000000000004">
      <c r="A25" s="28" t="s">
        <v>15</v>
      </c>
    </row>
    <row r="26" spans="1:9" ht="15.75" customHeight="1" x14ac:dyDescent="0.55000000000000004">
      <c r="A26" s="28"/>
    </row>
    <row r="27" spans="1:9" ht="15.75" customHeight="1" x14ac:dyDescent="0.55000000000000004">
      <c r="A27" s="28" t="s">
        <v>16</v>
      </c>
    </row>
    <row r="28" spans="1:9" ht="15.75" customHeight="1" x14ac:dyDescent="0.55000000000000004">
      <c r="A28" s="28" t="s">
        <v>17</v>
      </c>
    </row>
    <row r="29" spans="1:9" ht="15.75" customHeight="1" x14ac:dyDescent="0.55000000000000004">
      <c r="A29" s="28"/>
    </row>
    <row r="30" spans="1:9" ht="14.5" customHeight="1" x14ac:dyDescent="0.55000000000000004">
      <c r="A30" s="28" t="s">
        <v>18</v>
      </c>
      <c r="B30" s="39"/>
      <c r="C30" s="39"/>
      <c r="D30" s="39"/>
      <c r="E30" s="39"/>
      <c r="F30" s="39"/>
      <c r="G30" s="39"/>
      <c r="H30" s="39"/>
      <c r="I30" s="39"/>
    </row>
    <row r="31" spans="1:9" ht="14.5" customHeight="1" x14ac:dyDescent="0.55000000000000004">
      <c r="A31" s="28" t="s">
        <v>19</v>
      </c>
      <c r="B31" s="39"/>
      <c r="C31" s="39"/>
      <c r="D31" s="39"/>
      <c r="E31" s="39"/>
      <c r="F31" s="39"/>
      <c r="G31" s="39"/>
      <c r="H31" s="39"/>
      <c r="I31" s="39"/>
    </row>
    <row r="32" spans="1:9" ht="14.5" customHeight="1" x14ac:dyDescent="0.55000000000000004">
      <c r="A32" s="28" t="s">
        <v>20</v>
      </c>
      <c r="B32" s="39"/>
      <c r="C32" s="39"/>
      <c r="D32" s="39"/>
      <c r="E32" s="39"/>
      <c r="F32" s="39"/>
      <c r="G32" s="39"/>
      <c r="H32" s="39"/>
      <c r="I32" s="39"/>
    </row>
    <row r="33" spans="1:9" ht="14.5" customHeight="1" x14ac:dyDescent="0.55000000000000004">
      <c r="A33" s="28" t="s">
        <v>21</v>
      </c>
      <c r="B33" s="39"/>
      <c r="C33" s="39"/>
      <c r="D33" s="39"/>
      <c r="E33" s="39"/>
      <c r="F33" s="39"/>
      <c r="G33" s="39"/>
      <c r="H33" s="39"/>
      <c r="I33" s="39"/>
    </row>
    <row r="34" spans="1:9" ht="14.5" customHeight="1" x14ac:dyDescent="0.55000000000000004">
      <c r="A34" s="28" t="s">
        <v>22</v>
      </c>
      <c r="B34" s="39"/>
      <c r="C34" s="39"/>
      <c r="D34" s="39"/>
      <c r="E34" s="39"/>
      <c r="F34" s="39"/>
      <c r="G34" s="39"/>
      <c r="H34" s="39"/>
      <c r="I34" s="39"/>
    </row>
    <row r="35" spans="1:9" ht="15.75" customHeight="1" x14ac:dyDescent="0.55000000000000004">
      <c r="A35" s="28"/>
    </row>
    <row r="36" spans="1:9" ht="15.75" customHeight="1" x14ac:dyDescent="0.55000000000000004">
      <c r="A36" s="28" t="s">
        <v>23</v>
      </c>
    </row>
    <row r="37" spans="1:9" ht="15.75" customHeight="1" x14ac:dyDescent="0.55000000000000004">
      <c r="A37" s="28" t="str">
        <f>CONCATENATE("If your last PCI update was October 1, ",DemandYear,", the TRS gross-up amount calculated at the last PCI update is a required input for this TRP.  The gross-up amount reflected in the existing")</f>
        <v>If your last PCI update was October 1, 2023, the TRS gross-up amount calculated at the last PCI update is a required input for this TRP.  The gross-up amount reflected in the existing</v>
      </c>
    </row>
    <row r="38" spans="1:9" ht="15.75" customHeight="1" x14ac:dyDescent="0.55000000000000004">
      <c r="A38" s="28" t="s">
        <v>24</v>
      </c>
    </row>
    <row r="39" spans="1:9" ht="15.75" customHeight="1" x14ac:dyDescent="0.55000000000000004">
      <c r="A39" s="28" t="str">
        <f>CONCATENATE("factor.  If your last PCI update was July 1, ",DemandYear,", data entry in columns M, N and O is not required and the factor will default to 1.")</f>
        <v>factor.  If your last PCI update was July 1, 2023, data entry in columns M, N and O is not required and the factor will default to 1.</v>
      </c>
    </row>
    <row r="40" spans="1:9" ht="15.75" customHeight="1" x14ac:dyDescent="0.55000000000000004">
      <c r="A40" s="28"/>
    </row>
    <row r="41" spans="1:9" ht="15.75" customHeight="1" x14ac:dyDescent="0.55000000000000004">
      <c r="A41" s="28" t="s">
        <v>25</v>
      </c>
      <c r="B41" s="28"/>
      <c r="C41" s="28"/>
      <c r="D41" s="28"/>
      <c r="E41" s="28"/>
      <c r="F41" s="28"/>
      <c r="G41" s="28"/>
      <c r="H41" s="28"/>
      <c r="I41" s="28"/>
    </row>
    <row r="42" spans="1:9" ht="15.75" customHeight="1" x14ac:dyDescent="0.55000000000000004">
      <c r="A42" s="28" t="s">
        <v>26</v>
      </c>
    </row>
    <row r="43" spans="1:9" ht="15.75" customHeight="1" x14ac:dyDescent="0.55000000000000004">
      <c r="A43" s="28" t="s">
        <v>27</v>
      </c>
    </row>
    <row r="44" spans="1:9" ht="15.75" customHeight="1" x14ac:dyDescent="0.55000000000000004">
      <c r="A44" s="28" t="s">
        <v>28</v>
      </c>
    </row>
    <row r="45" spans="1:9" ht="15.75" customHeight="1" x14ac:dyDescent="0.55000000000000004">
      <c r="A45" s="28" t="s">
        <v>29</v>
      </c>
    </row>
    <row r="46" spans="1:9" ht="15.75" customHeight="1" x14ac:dyDescent="0.55000000000000004">
      <c r="A46" s="28" t="s">
        <v>30</v>
      </c>
    </row>
    <row r="47" spans="1:9" ht="15.75" customHeight="1" x14ac:dyDescent="0.55000000000000004">
      <c r="A47" s="28" t="s">
        <v>31</v>
      </c>
    </row>
    <row r="48" spans="1:9" ht="15.75" customHeight="1" x14ac:dyDescent="0.55000000000000004">
      <c r="A48" s="28"/>
    </row>
    <row r="49" spans="1:1" ht="15.75" customHeight="1" x14ac:dyDescent="0.55000000000000004"/>
    <row r="50" spans="1:1" ht="15.75" customHeight="1" x14ac:dyDescent="0.55000000000000004"/>
    <row r="51" spans="1:1" ht="15.75" customHeight="1" x14ac:dyDescent="0.55000000000000004"/>
    <row r="52" spans="1:1" ht="15.75" customHeight="1" x14ac:dyDescent="0.55000000000000004"/>
    <row r="53" spans="1:1" ht="15.75" customHeight="1" x14ac:dyDescent="0.55000000000000004"/>
    <row r="54" spans="1:1" ht="15.75" customHeight="1" x14ac:dyDescent="0.55000000000000004"/>
    <row r="55" spans="1:1" ht="15.75" customHeight="1" x14ac:dyDescent="0.55000000000000004"/>
    <row r="56" spans="1:1" ht="15.75" customHeight="1" x14ac:dyDescent="0.55000000000000004"/>
    <row r="57" spans="1:1" ht="15.75" customHeight="1" x14ac:dyDescent="0.55000000000000004">
      <c r="A57" s="28"/>
    </row>
    <row r="58" spans="1:1" ht="15.75" customHeight="1" x14ac:dyDescent="0.55000000000000004">
      <c r="A58" s="28"/>
    </row>
    <row r="59" spans="1:1" ht="15.75" customHeight="1" x14ac:dyDescent="0.55000000000000004">
      <c r="A59" s="28"/>
    </row>
    <row r="60" spans="1:1" ht="15.75" customHeight="1" x14ac:dyDescent="0.55000000000000004">
      <c r="A60" s="32"/>
    </row>
    <row r="61" spans="1:1" ht="15.6" x14ac:dyDescent="0.55000000000000004">
      <c r="A61" s="28"/>
    </row>
    <row r="62" spans="1:1" ht="15.6" x14ac:dyDescent="0.55000000000000004">
      <c r="A62" s="28"/>
    </row>
    <row r="63" spans="1:1" ht="15.6" x14ac:dyDescent="0.55000000000000004">
      <c r="A63" s="28"/>
    </row>
    <row r="64" spans="1:1" ht="15.6" x14ac:dyDescent="0.55000000000000004">
      <c r="A64" s="32"/>
    </row>
    <row r="66" spans="1:1" ht="15.6" x14ac:dyDescent="0.55000000000000004">
      <c r="A66" s="32"/>
    </row>
    <row r="67" spans="1:1" ht="15.6" x14ac:dyDescent="0.55000000000000004">
      <c r="A67" s="32"/>
    </row>
    <row r="68" spans="1:1" ht="15.6" x14ac:dyDescent="0.55000000000000004">
      <c r="A68" s="28"/>
    </row>
    <row r="69" spans="1:1" ht="15.6" x14ac:dyDescent="0.55000000000000004">
      <c r="A69" s="32"/>
    </row>
    <row r="70" spans="1:1" ht="15.6" x14ac:dyDescent="0.55000000000000004">
      <c r="A70" s="32"/>
    </row>
    <row r="71" spans="1:1" ht="15.6" x14ac:dyDescent="0.55000000000000004">
      <c r="A71" s="32"/>
    </row>
    <row r="73" spans="1:1" ht="15.6" x14ac:dyDescent="0.55000000000000004">
      <c r="A73" s="28"/>
    </row>
    <row r="74" spans="1:1" ht="15.6" x14ac:dyDescent="0.55000000000000004">
      <c r="A74" s="28"/>
    </row>
    <row r="75" spans="1:1" ht="15.6" x14ac:dyDescent="0.55000000000000004">
      <c r="A75" s="32"/>
    </row>
    <row r="76" spans="1:1" ht="15.6" x14ac:dyDescent="0.55000000000000004">
      <c r="A76" s="28"/>
    </row>
    <row r="77" spans="1:1" x14ac:dyDescent="0.55000000000000004">
      <c r="A77" s="33"/>
    </row>
    <row r="78" spans="1:1" ht="15.6" x14ac:dyDescent="0.55000000000000004">
      <c r="A78" s="28"/>
    </row>
    <row r="80" spans="1:1" ht="15.6" x14ac:dyDescent="0.55000000000000004">
      <c r="A80" s="28"/>
    </row>
  </sheetData>
  <pageMargins left="0.25" right="0.25" top="0.75" bottom="0.75" header="0.3" footer="0.3"/>
  <pageSetup paperSize="5" scale="97"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dimension ref="A1:AL26"/>
  <sheetViews>
    <sheetView zoomScale="80" zoomScaleNormal="80" workbookViewId="0"/>
  </sheetViews>
  <sheetFormatPr defaultRowHeight="15.3" x14ac:dyDescent="0.55000000000000004"/>
  <cols>
    <col min="1" max="1" width="26.15625" style="2" customWidth="1"/>
    <col min="2" max="2" width="50.68359375" style="2" bestFit="1" customWidth="1"/>
    <col min="3" max="3" width="20.26171875" style="2" customWidth="1"/>
    <col min="4" max="4" width="50.83984375" style="2" bestFit="1" customWidth="1"/>
    <col min="5" max="7" width="20.68359375" style="2" customWidth="1"/>
    <col min="8" max="13" width="23.15625" style="2" customWidth="1"/>
    <col min="14" max="14" width="45.578125" style="2" customWidth="1"/>
    <col min="15" max="51" width="20.68359375" customWidth="1"/>
    <col min="275" max="275" width="13.68359375" customWidth="1"/>
    <col min="276" max="276" width="14.26171875" customWidth="1"/>
    <col min="277" max="277" width="27.68359375" customWidth="1"/>
    <col min="278" max="278" width="19.15625" customWidth="1"/>
    <col min="279" max="279" width="23.26171875" customWidth="1"/>
    <col min="280" max="280" width="20.68359375" customWidth="1"/>
    <col min="281" max="281" width="23.15625" customWidth="1"/>
    <col min="282" max="282" width="24" customWidth="1"/>
    <col min="283" max="283" width="17" customWidth="1"/>
    <col min="285" max="285" width="16" customWidth="1"/>
    <col min="286" max="286" width="16.68359375" customWidth="1"/>
    <col min="287" max="287" width="13.26171875" customWidth="1"/>
    <col min="531" max="531" width="13.68359375" customWidth="1"/>
    <col min="532" max="532" width="14.26171875" customWidth="1"/>
    <col min="533" max="533" width="27.68359375" customWidth="1"/>
    <col min="534" max="534" width="19.15625" customWidth="1"/>
    <col min="535" max="535" width="23.26171875" customWidth="1"/>
    <col min="536" max="536" width="20.68359375" customWidth="1"/>
    <col min="537" max="537" width="23.15625" customWidth="1"/>
    <col min="538" max="538" width="24" customWidth="1"/>
    <col min="539" max="539" width="17" customWidth="1"/>
    <col min="541" max="541" width="16" customWidth="1"/>
    <col min="542" max="542" width="16.68359375" customWidth="1"/>
    <col min="543" max="543" width="13.26171875" customWidth="1"/>
    <col min="787" max="787" width="13.68359375" customWidth="1"/>
    <col min="788" max="788" width="14.26171875" customWidth="1"/>
    <col min="789" max="789" width="27.68359375" customWidth="1"/>
    <col min="790" max="790" width="19.15625" customWidth="1"/>
    <col min="791" max="791" width="23.26171875" customWidth="1"/>
    <col min="792" max="792" width="20.68359375" customWidth="1"/>
    <col min="793" max="793" width="23.15625" customWidth="1"/>
    <col min="794" max="794" width="24" customWidth="1"/>
    <col min="795" max="795" width="17" customWidth="1"/>
    <col min="797" max="797" width="16" customWidth="1"/>
    <col min="798" max="798" width="16.68359375" customWidth="1"/>
    <col min="799" max="799" width="13.26171875" customWidth="1"/>
    <col min="1043" max="1043" width="13.68359375" customWidth="1"/>
    <col min="1044" max="1044" width="14.26171875" customWidth="1"/>
    <col min="1045" max="1045" width="27.68359375" customWidth="1"/>
    <col min="1046" max="1046" width="19.15625" customWidth="1"/>
    <col min="1047" max="1047" width="23.26171875" customWidth="1"/>
    <col min="1048" max="1048" width="20.68359375" customWidth="1"/>
    <col min="1049" max="1049" width="23.15625" customWidth="1"/>
    <col min="1050" max="1050" width="24" customWidth="1"/>
    <col min="1051" max="1051" width="17" customWidth="1"/>
    <col min="1053" max="1053" width="16" customWidth="1"/>
    <col min="1054" max="1054" width="16.68359375" customWidth="1"/>
    <col min="1055" max="1055" width="13.26171875" customWidth="1"/>
    <col min="1299" max="1299" width="13.68359375" customWidth="1"/>
    <col min="1300" max="1300" width="14.26171875" customWidth="1"/>
    <col min="1301" max="1301" width="27.68359375" customWidth="1"/>
    <col min="1302" max="1302" width="19.15625" customWidth="1"/>
    <col min="1303" max="1303" width="23.26171875" customWidth="1"/>
    <col min="1304" max="1304" width="20.68359375" customWidth="1"/>
    <col min="1305" max="1305" width="23.15625" customWidth="1"/>
    <col min="1306" max="1306" width="24" customWidth="1"/>
    <col min="1307" max="1307" width="17" customWidth="1"/>
    <col min="1309" max="1309" width="16" customWidth="1"/>
    <col min="1310" max="1310" width="16.68359375" customWidth="1"/>
    <col min="1311" max="1311" width="13.26171875" customWidth="1"/>
    <col min="1555" max="1555" width="13.68359375" customWidth="1"/>
    <col min="1556" max="1556" width="14.26171875" customWidth="1"/>
    <col min="1557" max="1557" width="27.68359375" customWidth="1"/>
    <col min="1558" max="1558" width="19.15625" customWidth="1"/>
    <col min="1559" max="1559" width="23.26171875" customWidth="1"/>
    <col min="1560" max="1560" width="20.68359375" customWidth="1"/>
    <col min="1561" max="1561" width="23.15625" customWidth="1"/>
    <col min="1562" max="1562" width="24" customWidth="1"/>
    <col min="1563" max="1563" width="17" customWidth="1"/>
    <col min="1565" max="1565" width="16" customWidth="1"/>
    <col min="1566" max="1566" width="16.68359375" customWidth="1"/>
    <col min="1567" max="1567" width="13.26171875" customWidth="1"/>
    <col min="1811" max="1811" width="13.68359375" customWidth="1"/>
    <col min="1812" max="1812" width="14.26171875" customWidth="1"/>
    <col min="1813" max="1813" width="27.68359375" customWidth="1"/>
    <col min="1814" max="1814" width="19.15625" customWidth="1"/>
    <col min="1815" max="1815" width="23.26171875" customWidth="1"/>
    <col min="1816" max="1816" width="20.68359375" customWidth="1"/>
    <col min="1817" max="1817" width="23.15625" customWidth="1"/>
    <col min="1818" max="1818" width="24" customWidth="1"/>
    <col min="1819" max="1819" width="17" customWidth="1"/>
    <col min="1821" max="1821" width="16" customWidth="1"/>
    <col min="1822" max="1822" width="16.68359375" customWidth="1"/>
    <col min="1823" max="1823" width="13.26171875" customWidth="1"/>
    <col min="2067" max="2067" width="13.68359375" customWidth="1"/>
    <col min="2068" max="2068" width="14.26171875" customWidth="1"/>
    <col min="2069" max="2069" width="27.68359375" customWidth="1"/>
    <col min="2070" max="2070" width="19.15625" customWidth="1"/>
    <col min="2071" max="2071" width="23.26171875" customWidth="1"/>
    <col min="2072" max="2072" width="20.68359375" customWidth="1"/>
    <col min="2073" max="2073" width="23.15625" customWidth="1"/>
    <col min="2074" max="2074" width="24" customWidth="1"/>
    <col min="2075" max="2075" width="17" customWidth="1"/>
    <col min="2077" max="2077" width="16" customWidth="1"/>
    <col min="2078" max="2078" width="16.68359375" customWidth="1"/>
    <col min="2079" max="2079" width="13.26171875" customWidth="1"/>
    <col min="2323" max="2323" width="13.68359375" customWidth="1"/>
    <col min="2324" max="2324" width="14.26171875" customWidth="1"/>
    <col min="2325" max="2325" width="27.68359375" customWidth="1"/>
    <col min="2326" max="2326" width="19.15625" customWidth="1"/>
    <col min="2327" max="2327" width="23.26171875" customWidth="1"/>
    <col min="2328" max="2328" width="20.68359375" customWidth="1"/>
    <col min="2329" max="2329" width="23.15625" customWidth="1"/>
    <col min="2330" max="2330" width="24" customWidth="1"/>
    <col min="2331" max="2331" width="17" customWidth="1"/>
    <col min="2333" max="2333" width="16" customWidth="1"/>
    <col min="2334" max="2334" width="16.68359375" customWidth="1"/>
    <col min="2335" max="2335" width="13.26171875" customWidth="1"/>
    <col min="2579" max="2579" width="13.68359375" customWidth="1"/>
    <col min="2580" max="2580" width="14.26171875" customWidth="1"/>
    <col min="2581" max="2581" width="27.68359375" customWidth="1"/>
    <col min="2582" max="2582" width="19.15625" customWidth="1"/>
    <col min="2583" max="2583" width="23.26171875" customWidth="1"/>
    <col min="2584" max="2584" width="20.68359375" customWidth="1"/>
    <col min="2585" max="2585" width="23.15625" customWidth="1"/>
    <col min="2586" max="2586" width="24" customWidth="1"/>
    <col min="2587" max="2587" width="17" customWidth="1"/>
    <col min="2589" max="2589" width="16" customWidth="1"/>
    <col min="2590" max="2590" width="16.68359375" customWidth="1"/>
    <col min="2591" max="2591" width="13.26171875" customWidth="1"/>
    <col min="2835" max="2835" width="13.68359375" customWidth="1"/>
    <col min="2836" max="2836" width="14.26171875" customWidth="1"/>
    <col min="2837" max="2837" width="27.68359375" customWidth="1"/>
    <col min="2838" max="2838" width="19.15625" customWidth="1"/>
    <col min="2839" max="2839" width="23.26171875" customWidth="1"/>
    <col min="2840" max="2840" width="20.68359375" customWidth="1"/>
    <col min="2841" max="2841" width="23.15625" customWidth="1"/>
    <col min="2842" max="2842" width="24" customWidth="1"/>
    <col min="2843" max="2843" width="17" customWidth="1"/>
    <col min="2845" max="2845" width="16" customWidth="1"/>
    <col min="2846" max="2846" width="16.68359375" customWidth="1"/>
    <col min="2847" max="2847" width="13.26171875" customWidth="1"/>
    <col min="3091" max="3091" width="13.68359375" customWidth="1"/>
    <col min="3092" max="3092" width="14.26171875" customWidth="1"/>
    <col min="3093" max="3093" width="27.68359375" customWidth="1"/>
    <col min="3094" max="3094" width="19.15625" customWidth="1"/>
    <col min="3095" max="3095" width="23.26171875" customWidth="1"/>
    <col min="3096" max="3096" width="20.68359375" customWidth="1"/>
    <col min="3097" max="3097" width="23.15625" customWidth="1"/>
    <col min="3098" max="3098" width="24" customWidth="1"/>
    <col min="3099" max="3099" width="17" customWidth="1"/>
    <col min="3101" max="3101" width="16" customWidth="1"/>
    <col min="3102" max="3102" width="16.68359375" customWidth="1"/>
    <col min="3103" max="3103" width="13.26171875" customWidth="1"/>
    <col min="3347" max="3347" width="13.68359375" customWidth="1"/>
    <col min="3348" max="3348" width="14.26171875" customWidth="1"/>
    <col min="3349" max="3349" width="27.68359375" customWidth="1"/>
    <col min="3350" max="3350" width="19.15625" customWidth="1"/>
    <col min="3351" max="3351" width="23.26171875" customWidth="1"/>
    <col min="3352" max="3352" width="20.68359375" customWidth="1"/>
    <col min="3353" max="3353" width="23.15625" customWidth="1"/>
    <col min="3354" max="3354" width="24" customWidth="1"/>
    <col min="3355" max="3355" width="17" customWidth="1"/>
    <col min="3357" max="3357" width="16" customWidth="1"/>
    <col min="3358" max="3358" width="16.68359375" customWidth="1"/>
    <col min="3359" max="3359" width="13.26171875" customWidth="1"/>
    <col min="3603" max="3603" width="13.68359375" customWidth="1"/>
    <col min="3604" max="3604" width="14.26171875" customWidth="1"/>
    <col min="3605" max="3605" width="27.68359375" customWidth="1"/>
    <col min="3606" max="3606" width="19.15625" customWidth="1"/>
    <col min="3607" max="3607" width="23.26171875" customWidth="1"/>
    <col min="3608" max="3608" width="20.68359375" customWidth="1"/>
    <col min="3609" max="3609" width="23.15625" customWidth="1"/>
    <col min="3610" max="3610" width="24" customWidth="1"/>
    <col min="3611" max="3611" width="17" customWidth="1"/>
    <col min="3613" max="3613" width="16" customWidth="1"/>
    <col min="3614" max="3614" width="16.68359375" customWidth="1"/>
    <col min="3615" max="3615" width="13.26171875" customWidth="1"/>
    <col min="3859" max="3859" width="13.68359375" customWidth="1"/>
    <col min="3860" max="3860" width="14.26171875" customWidth="1"/>
    <col min="3861" max="3861" width="27.68359375" customWidth="1"/>
    <col min="3862" max="3862" width="19.15625" customWidth="1"/>
    <col min="3863" max="3863" width="23.26171875" customWidth="1"/>
    <col min="3864" max="3864" width="20.68359375" customWidth="1"/>
    <col min="3865" max="3865" width="23.15625" customWidth="1"/>
    <col min="3866" max="3866" width="24" customWidth="1"/>
    <col min="3867" max="3867" width="17" customWidth="1"/>
    <col min="3869" max="3869" width="16" customWidth="1"/>
    <col min="3870" max="3870" width="16.68359375" customWidth="1"/>
    <col min="3871" max="3871" width="13.26171875" customWidth="1"/>
    <col min="4115" max="4115" width="13.68359375" customWidth="1"/>
    <col min="4116" max="4116" width="14.26171875" customWidth="1"/>
    <col min="4117" max="4117" width="27.68359375" customWidth="1"/>
    <col min="4118" max="4118" width="19.15625" customWidth="1"/>
    <col min="4119" max="4119" width="23.26171875" customWidth="1"/>
    <col min="4120" max="4120" width="20.68359375" customWidth="1"/>
    <col min="4121" max="4121" width="23.15625" customWidth="1"/>
    <col min="4122" max="4122" width="24" customWidth="1"/>
    <col min="4123" max="4123" width="17" customWidth="1"/>
    <col min="4125" max="4125" width="16" customWidth="1"/>
    <col min="4126" max="4126" width="16.68359375" customWidth="1"/>
    <col min="4127" max="4127" width="13.26171875" customWidth="1"/>
    <col min="4371" max="4371" width="13.68359375" customWidth="1"/>
    <col min="4372" max="4372" width="14.26171875" customWidth="1"/>
    <col min="4373" max="4373" width="27.68359375" customWidth="1"/>
    <col min="4374" max="4374" width="19.15625" customWidth="1"/>
    <col min="4375" max="4375" width="23.26171875" customWidth="1"/>
    <col min="4376" max="4376" width="20.68359375" customWidth="1"/>
    <col min="4377" max="4377" width="23.15625" customWidth="1"/>
    <col min="4378" max="4378" width="24" customWidth="1"/>
    <col min="4379" max="4379" width="17" customWidth="1"/>
    <col min="4381" max="4381" width="16" customWidth="1"/>
    <col min="4382" max="4382" width="16.68359375" customWidth="1"/>
    <col min="4383" max="4383" width="13.26171875" customWidth="1"/>
    <col min="4627" max="4627" width="13.68359375" customWidth="1"/>
    <col min="4628" max="4628" width="14.26171875" customWidth="1"/>
    <col min="4629" max="4629" width="27.68359375" customWidth="1"/>
    <col min="4630" max="4630" width="19.15625" customWidth="1"/>
    <col min="4631" max="4631" width="23.26171875" customWidth="1"/>
    <col min="4632" max="4632" width="20.68359375" customWidth="1"/>
    <col min="4633" max="4633" width="23.15625" customWidth="1"/>
    <col min="4634" max="4634" width="24" customWidth="1"/>
    <col min="4635" max="4635" width="17" customWidth="1"/>
    <col min="4637" max="4637" width="16" customWidth="1"/>
    <col min="4638" max="4638" width="16.68359375" customWidth="1"/>
    <col min="4639" max="4639" width="13.26171875" customWidth="1"/>
    <col min="4883" max="4883" width="13.68359375" customWidth="1"/>
    <col min="4884" max="4884" width="14.26171875" customWidth="1"/>
    <col min="4885" max="4885" width="27.68359375" customWidth="1"/>
    <col min="4886" max="4886" width="19.15625" customWidth="1"/>
    <col min="4887" max="4887" width="23.26171875" customWidth="1"/>
    <col min="4888" max="4888" width="20.68359375" customWidth="1"/>
    <col min="4889" max="4889" width="23.15625" customWidth="1"/>
    <col min="4890" max="4890" width="24" customWidth="1"/>
    <col min="4891" max="4891" width="17" customWidth="1"/>
    <col min="4893" max="4893" width="16" customWidth="1"/>
    <col min="4894" max="4894" width="16.68359375" customWidth="1"/>
    <col min="4895" max="4895" width="13.26171875" customWidth="1"/>
    <col min="5139" max="5139" width="13.68359375" customWidth="1"/>
    <col min="5140" max="5140" width="14.26171875" customWidth="1"/>
    <col min="5141" max="5141" width="27.68359375" customWidth="1"/>
    <col min="5142" max="5142" width="19.15625" customWidth="1"/>
    <col min="5143" max="5143" width="23.26171875" customWidth="1"/>
    <col min="5144" max="5144" width="20.68359375" customWidth="1"/>
    <col min="5145" max="5145" width="23.15625" customWidth="1"/>
    <col min="5146" max="5146" width="24" customWidth="1"/>
    <col min="5147" max="5147" width="17" customWidth="1"/>
    <col min="5149" max="5149" width="16" customWidth="1"/>
    <col min="5150" max="5150" width="16.68359375" customWidth="1"/>
    <col min="5151" max="5151" width="13.26171875" customWidth="1"/>
    <col min="5395" max="5395" width="13.68359375" customWidth="1"/>
    <col min="5396" max="5396" width="14.26171875" customWidth="1"/>
    <col min="5397" max="5397" width="27.68359375" customWidth="1"/>
    <col min="5398" max="5398" width="19.15625" customWidth="1"/>
    <col min="5399" max="5399" width="23.26171875" customWidth="1"/>
    <col min="5400" max="5400" width="20.68359375" customWidth="1"/>
    <col min="5401" max="5401" width="23.15625" customWidth="1"/>
    <col min="5402" max="5402" width="24" customWidth="1"/>
    <col min="5403" max="5403" width="17" customWidth="1"/>
    <col min="5405" max="5405" width="16" customWidth="1"/>
    <col min="5406" max="5406" width="16.68359375" customWidth="1"/>
    <col min="5407" max="5407" width="13.26171875" customWidth="1"/>
    <col min="5651" max="5651" width="13.68359375" customWidth="1"/>
    <col min="5652" max="5652" width="14.26171875" customWidth="1"/>
    <col min="5653" max="5653" width="27.68359375" customWidth="1"/>
    <col min="5654" max="5654" width="19.15625" customWidth="1"/>
    <col min="5655" max="5655" width="23.26171875" customWidth="1"/>
    <col min="5656" max="5656" width="20.68359375" customWidth="1"/>
    <col min="5657" max="5657" width="23.15625" customWidth="1"/>
    <col min="5658" max="5658" width="24" customWidth="1"/>
    <col min="5659" max="5659" width="17" customWidth="1"/>
    <col min="5661" max="5661" width="16" customWidth="1"/>
    <col min="5662" max="5662" width="16.68359375" customWidth="1"/>
    <col min="5663" max="5663" width="13.26171875" customWidth="1"/>
    <col min="5907" max="5907" width="13.68359375" customWidth="1"/>
    <col min="5908" max="5908" width="14.26171875" customWidth="1"/>
    <col min="5909" max="5909" width="27.68359375" customWidth="1"/>
    <col min="5910" max="5910" width="19.15625" customWidth="1"/>
    <col min="5911" max="5911" width="23.26171875" customWidth="1"/>
    <col min="5912" max="5912" width="20.68359375" customWidth="1"/>
    <col min="5913" max="5913" width="23.15625" customWidth="1"/>
    <col min="5914" max="5914" width="24" customWidth="1"/>
    <col min="5915" max="5915" width="17" customWidth="1"/>
    <col min="5917" max="5917" width="16" customWidth="1"/>
    <col min="5918" max="5918" width="16.68359375" customWidth="1"/>
    <col min="5919" max="5919" width="13.26171875" customWidth="1"/>
    <col min="6163" max="6163" width="13.68359375" customWidth="1"/>
    <col min="6164" max="6164" width="14.26171875" customWidth="1"/>
    <col min="6165" max="6165" width="27.68359375" customWidth="1"/>
    <col min="6166" max="6166" width="19.15625" customWidth="1"/>
    <col min="6167" max="6167" width="23.26171875" customWidth="1"/>
    <col min="6168" max="6168" width="20.68359375" customWidth="1"/>
    <col min="6169" max="6169" width="23.15625" customWidth="1"/>
    <col min="6170" max="6170" width="24" customWidth="1"/>
    <col min="6171" max="6171" width="17" customWidth="1"/>
    <col min="6173" max="6173" width="16" customWidth="1"/>
    <col min="6174" max="6174" width="16.68359375" customWidth="1"/>
    <col min="6175" max="6175" width="13.26171875" customWidth="1"/>
    <col min="6419" max="6419" width="13.68359375" customWidth="1"/>
    <col min="6420" max="6420" width="14.26171875" customWidth="1"/>
    <col min="6421" max="6421" width="27.68359375" customWidth="1"/>
    <col min="6422" max="6422" width="19.15625" customWidth="1"/>
    <col min="6423" max="6423" width="23.26171875" customWidth="1"/>
    <col min="6424" max="6424" width="20.68359375" customWidth="1"/>
    <col min="6425" max="6425" width="23.15625" customWidth="1"/>
    <col min="6426" max="6426" width="24" customWidth="1"/>
    <col min="6427" max="6427" width="17" customWidth="1"/>
    <col min="6429" max="6429" width="16" customWidth="1"/>
    <col min="6430" max="6430" width="16.68359375" customWidth="1"/>
    <col min="6431" max="6431" width="13.26171875" customWidth="1"/>
    <col min="6675" max="6675" width="13.68359375" customWidth="1"/>
    <col min="6676" max="6676" width="14.26171875" customWidth="1"/>
    <col min="6677" max="6677" width="27.68359375" customWidth="1"/>
    <col min="6678" max="6678" width="19.15625" customWidth="1"/>
    <col min="6679" max="6679" width="23.26171875" customWidth="1"/>
    <col min="6680" max="6680" width="20.68359375" customWidth="1"/>
    <col min="6681" max="6681" width="23.15625" customWidth="1"/>
    <col min="6682" max="6682" width="24" customWidth="1"/>
    <col min="6683" max="6683" width="17" customWidth="1"/>
    <col min="6685" max="6685" width="16" customWidth="1"/>
    <col min="6686" max="6686" width="16.68359375" customWidth="1"/>
    <col min="6687" max="6687" width="13.26171875" customWidth="1"/>
    <col min="6931" max="6931" width="13.68359375" customWidth="1"/>
    <col min="6932" max="6932" width="14.26171875" customWidth="1"/>
    <col min="6933" max="6933" width="27.68359375" customWidth="1"/>
    <col min="6934" max="6934" width="19.15625" customWidth="1"/>
    <col min="6935" max="6935" width="23.26171875" customWidth="1"/>
    <col min="6936" max="6936" width="20.68359375" customWidth="1"/>
    <col min="6937" max="6937" width="23.15625" customWidth="1"/>
    <col min="6938" max="6938" width="24" customWidth="1"/>
    <col min="6939" max="6939" width="17" customWidth="1"/>
    <col min="6941" max="6941" width="16" customWidth="1"/>
    <col min="6942" max="6942" width="16.68359375" customWidth="1"/>
    <col min="6943" max="6943" width="13.26171875" customWidth="1"/>
    <col min="7187" max="7187" width="13.68359375" customWidth="1"/>
    <col min="7188" max="7188" width="14.26171875" customWidth="1"/>
    <col min="7189" max="7189" width="27.68359375" customWidth="1"/>
    <col min="7190" max="7190" width="19.15625" customWidth="1"/>
    <col min="7191" max="7191" width="23.26171875" customWidth="1"/>
    <col min="7192" max="7192" width="20.68359375" customWidth="1"/>
    <col min="7193" max="7193" width="23.15625" customWidth="1"/>
    <col min="7194" max="7194" width="24" customWidth="1"/>
    <col min="7195" max="7195" width="17" customWidth="1"/>
    <col min="7197" max="7197" width="16" customWidth="1"/>
    <col min="7198" max="7198" width="16.68359375" customWidth="1"/>
    <col min="7199" max="7199" width="13.26171875" customWidth="1"/>
    <col min="7443" max="7443" width="13.68359375" customWidth="1"/>
    <col min="7444" max="7444" width="14.26171875" customWidth="1"/>
    <col min="7445" max="7445" width="27.68359375" customWidth="1"/>
    <col min="7446" max="7446" width="19.15625" customWidth="1"/>
    <col min="7447" max="7447" width="23.26171875" customWidth="1"/>
    <col min="7448" max="7448" width="20.68359375" customWidth="1"/>
    <col min="7449" max="7449" width="23.15625" customWidth="1"/>
    <col min="7450" max="7450" width="24" customWidth="1"/>
    <col min="7451" max="7451" width="17" customWidth="1"/>
    <col min="7453" max="7453" width="16" customWidth="1"/>
    <col min="7454" max="7454" width="16.68359375" customWidth="1"/>
    <col min="7455" max="7455" width="13.26171875" customWidth="1"/>
    <col min="7699" max="7699" width="13.68359375" customWidth="1"/>
    <col min="7700" max="7700" width="14.26171875" customWidth="1"/>
    <col min="7701" max="7701" width="27.68359375" customWidth="1"/>
    <col min="7702" max="7702" width="19.15625" customWidth="1"/>
    <col min="7703" max="7703" width="23.26171875" customWidth="1"/>
    <col min="7704" max="7704" width="20.68359375" customWidth="1"/>
    <col min="7705" max="7705" width="23.15625" customWidth="1"/>
    <col min="7706" max="7706" width="24" customWidth="1"/>
    <col min="7707" max="7707" width="17" customWidth="1"/>
    <col min="7709" max="7709" width="16" customWidth="1"/>
    <col min="7710" max="7710" width="16.68359375" customWidth="1"/>
    <col min="7711" max="7711" width="13.26171875" customWidth="1"/>
    <col min="7955" max="7955" width="13.68359375" customWidth="1"/>
    <col min="7956" max="7956" width="14.26171875" customWidth="1"/>
    <col min="7957" max="7957" width="27.68359375" customWidth="1"/>
    <col min="7958" max="7958" width="19.15625" customWidth="1"/>
    <col min="7959" max="7959" width="23.26171875" customWidth="1"/>
    <col min="7960" max="7960" width="20.68359375" customWidth="1"/>
    <col min="7961" max="7961" width="23.15625" customWidth="1"/>
    <col min="7962" max="7962" width="24" customWidth="1"/>
    <col min="7963" max="7963" width="17" customWidth="1"/>
    <col min="7965" max="7965" width="16" customWidth="1"/>
    <col min="7966" max="7966" width="16.68359375" customWidth="1"/>
    <col min="7967" max="7967" width="13.26171875" customWidth="1"/>
    <col min="8211" max="8211" width="13.68359375" customWidth="1"/>
    <col min="8212" max="8212" width="14.26171875" customWidth="1"/>
    <col min="8213" max="8213" width="27.68359375" customWidth="1"/>
    <col min="8214" max="8214" width="19.15625" customWidth="1"/>
    <col min="8215" max="8215" width="23.26171875" customWidth="1"/>
    <col min="8216" max="8216" width="20.68359375" customWidth="1"/>
    <col min="8217" max="8217" width="23.15625" customWidth="1"/>
    <col min="8218" max="8218" width="24" customWidth="1"/>
    <col min="8219" max="8219" width="17" customWidth="1"/>
    <col min="8221" max="8221" width="16" customWidth="1"/>
    <col min="8222" max="8222" width="16.68359375" customWidth="1"/>
    <col min="8223" max="8223" width="13.26171875" customWidth="1"/>
    <col min="8467" max="8467" width="13.68359375" customWidth="1"/>
    <col min="8468" max="8468" width="14.26171875" customWidth="1"/>
    <col min="8469" max="8469" width="27.68359375" customWidth="1"/>
    <col min="8470" max="8470" width="19.15625" customWidth="1"/>
    <col min="8471" max="8471" width="23.26171875" customWidth="1"/>
    <col min="8472" max="8472" width="20.68359375" customWidth="1"/>
    <col min="8473" max="8473" width="23.15625" customWidth="1"/>
    <col min="8474" max="8474" width="24" customWidth="1"/>
    <col min="8475" max="8475" width="17" customWidth="1"/>
    <col min="8477" max="8477" width="16" customWidth="1"/>
    <col min="8478" max="8478" width="16.68359375" customWidth="1"/>
    <col min="8479" max="8479" width="13.26171875" customWidth="1"/>
    <col min="8723" max="8723" width="13.68359375" customWidth="1"/>
    <col min="8724" max="8724" width="14.26171875" customWidth="1"/>
    <col min="8725" max="8725" width="27.68359375" customWidth="1"/>
    <col min="8726" max="8726" width="19.15625" customWidth="1"/>
    <col min="8727" max="8727" width="23.26171875" customWidth="1"/>
    <col min="8728" max="8728" width="20.68359375" customWidth="1"/>
    <col min="8729" max="8729" width="23.15625" customWidth="1"/>
    <col min="8730" max="8730" width="24" customWidth="1"/>
    <col min="8731" max="8731" width="17" customWidth="1"/>
    <col min="8733" max="8733" width="16" customWidth="1"/>
    <col min="8734" max="8734" width="16.68359375" customWidth="1"/>
    <col min="8735" max="8735" width="13.26171875" customWidth="1"/>
    <col min="8979" max="8979" width="13.68359375" customWidth="1"/>
    <col min="8980" max="8980" width="14.26171875" customWidth="1"/>
    <col min="8981" max="8981" width="27.68359375" customWidth="1"/>
    <col min="8982" max="8982" width="19.15625" customWidth="1"/>
    <col min="8983" max="8983" width="23.26171875" customWidth="1"/>
    <col min="8984" max="8984" width="20.68359375" customWidth="1"/>
    <col min="8985" max="8985" width="23.15625" customWidth="1"/>
    <col min="8986" max="8986" width="24" customWidth="1"/>
    <col min="8987" max="8987" width="17" customWidth="1"/>
    <col min="8989" max="8989" width="16" customWidth="1"/>
    <col min="8990" max="8990" width="16.68359375" customWidth="1"/>
    <col min="8991" max="8991" width="13.26171875" customWidth="1"/>
    <col min="9235" max="9235" width="13.68359375" customWidth="1"/>
    <col min="9236" max="9236" width="14.26171875" customWidth="1"/>
    <col min="9237" max="9237" width="27.68359375" customWidth="1"/>
    <col min="9238" max="9238" width="19.15625" customWidth="1"/>
    <col min="9239" max="9239" width="23.26171875" customWidth="1"/>
    <col min="9240" max="9240" width="20.68359375" customWidth="1"/>
    <col min="9241" max="9241" width="23.15625" customWidth="1"/>
    <col min="9242" max="9242" width="24" customWidth="1"/>
    <col min="9243" max="9243" width="17" customWidth="1"/>
    <col min="9245" max="9245" width="16" customWidth="1"/>
    <col min="9246" max="9246" width="16.68359375" customWidth="1"/>
    <col min="9247" max="9247" width="13.26171875" customWidth="1"/>
    <col min="9491" max="9491" width="13.68359375" customWidth="1"/>
    <col min="9492" max="9492" width="14.26171875" customWidth="1"/>
    <col min="9493" max="9493" width="27.68359375" customWidth="1"/>
    <col min="9494" max="9494" width="19.15625" customWidth="1"/>
    <col min="9495" max="9495" width="23.26171875" customWidth="1"/>
    <col min="9496" max="9496" width="20.68359375" customWidth="1"/>
    <col min="9497" max="9497" width="23.15625" customWidth="1"/>
    <col min="9498" max="9498" width="24" customWidth="1"/>
    <col min="9499" max="9499" width="17" customWidth="1"/>
    <col min="9501" max="9501" width="16" customWidth="1"/>
    <col min="9502" max="9502" width="16.68359375" customWidth="1"/>
    <col min="9503" max="9503" width="13.26171875" customWidth="1"/>
    <col min="9747" max="9747" width="13.68359375" customWidth="1"/>
    <col min="9748" max="9748" width="14.26171875" customWidth="1"/>
    <col min="9749" max="9749" width="27.68359375" customWidth="1"/>
    <col min="9750" max="9750" width="19.15625" customWidth="1"/>
    <col min="9751" max="9751" width="23.26171875" customWidth="1"/>
    <col min="9752" max="9752" width="20.68359375" customWidth="1"/>
    <col min="9753" max="9753" width="23.15625" customWidth="1"/>
    <col min="9754" max="9754" width="24" customWidth="1"/>
    <col min="9755" max="9755" width="17" customWidth="1"/>
    <col min="9757" max="9757" width="16" customWidth="1"/>
    <col min="9758" max="9758" width="16.68359375" customWidth="1"/>
    <col min="9759" max="9759" width="13.26171875" customWidth="1"/>
    <col min="10003" max="10003" width="13.68359375" customWidth="1"/>
    <col min="10004" max="10004" width="14.26171875" customWidth="1"/>
    <col min="10005" max="10005" width="27.68359375" customWidth="1"/>
    <col min="10006" max="10006" width="19.15625" customWidth="1"/>
    <col min="10007" max="10007" width="23.26171875" customWidth="1"/>
    <col min="10008" max="10008" width="20.68359375" customWidth="1"/>
    <col min="10009" max="10009" width="23.15625" customWidth="1"/>
    <col min="10010" max="10010" width="24" customWidth="1"/>
    <col min="10011" max="10011" width="17" customWidth="1"/>
    <col min="10013" max="10013" width="16" customWidth="1"/>
    <col min="10014" max="10014" width="16.68359375" customWidth="1"/>
    <col min="10015" max="10015" width="13.26171875" customWidth="1"/>
    <col min="10259" max="10259" width="13.68359375" customWidth="1"/>
    <col min="10260" max="10260" width="14.26171875" customWidth="1"/>
    <col min="10261" max="10261" width="27.68359375" customWidth="1"/>
    <col min="10262" max="10262" width="19.15625" customWidth="1"/>
    <col min="10263" max="10263" width="23.26171875" customWidth="1"/>
    <col min="10264" max="10264" width="20.68359375" customWidth="1"/>
    <col min="10265" max="10265" width="23.15625" customWidth="1"/>
    <col min="10266" max="10266" width="24" customWidth="1"/>
    <col min="10267" max="10267" width="17" customWidth="1"/>
    <col min="10269" max="10269" width="16" customWidth="1"/>
    <col min="10270" max="10270" width="16.68359375" customWidth="1"/>
    <col min="10271" max="10271" width="13.26171875" customWidth="1"/>
    <col min="10515" max="10515" width="13.68359375" customWidth="1"/>
    <col min="10516" max="10516" width="14.26171875" customWidth="1"/>
    <col min="10517" max="10517" width="27.68359375" customWidth="1"/>
    <col min="10518" max="10518" width="19.15625" customWidth="1"/>
    <col min="10519" max="10519" width="23.26171875" customWidth="1"/>
    <col min="10520" max="10520" width="20.68359375" customWidth="1"/>
    <col min="10521" max="10521" width="23.15625" customWidth="1"/>
    <col min="10522" max="10522" width="24" customWidth="1"/>
    <col min="10523" max="10523" width="17" customWidth="1"/>
    <col min="10525" max="10525" width="16" customWidth="1"/>
    <col min="10526" max="10526" width="16.68359375" customWidth="1"/>
    <col min="10527" max="10527" width="13.26171875" customWidth="1"/>
    <col min="10771" max="10771" width="13.68359375" customWidth="1"/>
    <col min="10772" max="10772" width="14.26171875" customWidth="1"/>
    <col min="10773" max="10773" width="27.68359375" customWidth="1"/>
    <col min="10774" max="10774" width="19.15625" customWidth="1"/>
    <col min="10775" max="10775" width="23.26171875" customWidth="1"/>
    <col min="10776" max="10776" width="20.68359375" customWidth="1"/>
    <col min="10777" max="10777" width="23.15625" customWidth="1"/>
    <col min="10778" max="10778" width="24" customWidth="1"/>
    <col min="10779" max="10779" width="17" customWidth="1"/>
    <col min="10781" max="10781" width="16" customWidth="1"/>
    <col min="10782" max="10782" width="16.68359375" customWidth="1"/>
    <col min="10783" max="10783" width="13.26171875" customWidth="1"/>
    <col min="11027" max="11027" width="13.68359375" customWidth="1"/>
    <col min="11028" max="11028" width="14.26171875" customWidth="1"/>
    <col min="11029" max="11029" width="27.68359375" customWidth="1"/>
    <col min="11030" max="11030" width="19.15625" customWidth="1"/>
    <col min="11031" max="11031" width="23.26171875" customWidth="1"/>
    <col min="11032" max="11032" width="20.68359375" customWidth="1"/>
    <col min="11033" max="11033" width="23.15625" customWidth="1"/>
    <col min="11034" max="11034" width="24" customWidth="1"/>
    <col min="11035" max="11035" width="17" customWidth="1"/>
    <col min="11037" max="11037" width="16" customWidth="1"/>
    <col min="11038" max="11038" width="16.68359375" customWidth="1"/>
    <col min="11039" max="11039" width="13.26171875" customWidth="1"/>
    <col min="11283" max="11283" width="13.68359375" customWidth="1"/>
    <col min="11284" max="11284" width="14.26171875" customWidth="1"/>
    <col min="11285" max="11285" width="27.68359375" customWidth="1"/>
    <col min="11286" max="11286" width="19.15625" customWidth="1"/>
    <col min="11287" max="11287" width="23.26171875" customWidth="1"/>
    <col min="11288" max="11288" width="20.68359375" customWidth="1"/>
    <col min="11289" max="11289" width="23.15625" customWidth="1"/>
    <col min="11290" max="11290" width="24" customWidth="1"/>
    <col min="11291" max="11291" width="17" customWidth="1"/>
    <col min="11293" max="11293" width="16" customWidth="1"/>
    <col min="11294" max="11294" width="16.68359375" customWidth="1"/>
    <col min="11295" max="11295" width="13.26171875" customWidth="1"/>
    <col min="11539" max="11539" width="13.68359375" customWidth="1"/>
    <col min="11540" max="11540" width="14.26171875" customWidth="1"/>
    <col min="11541" max="11541" width="27.68359375" customWidth="1"/>
    <col min="11542" max="11542" width="19.15625" customWidth="1"/>
    <col min="11543" max="11543" width="23.26171875" customWidth="1"/>
    <col min="11544" max="11544" width="20.68359375" customWidth="1"/>
    <col min="11545" max="11545" width="23.15625" customWidth="1"/>
    <col min="11546" max="11546" width="24" customWidth="1"/>
    <col min="11547" max="11547" width="17" customWidth="1"/>
    <col min="11549" max="11549" width="16" customWidth="1"/>
    <col min="11550" max="11550" width="16.68359375" customWidth="1"/>
    <col min="11551" max="11551" width="13.26171875" customWidth="1"/>
    <col min="11795" max="11795" width="13.68359375" customWidth="1"/>
    <col min="11796" max="11796" width="14.26171875" customWidth="1"/>
    <col min="11797" max="11797" width="27.68359375" customWidth="1"/>
    <col min="11798" max="11798" width="19.15625" customWidth="1"/>
    <col min="11799" max="11799" width="23.26171875" customWidth="1"/>
    <col min="11800" max="11800" width="20.68359375" customWidth="1"/>
    <col min="11801" max="11801" width="23.15625" customWidth="1"/>
    <col min="11802" max="11802" width="24" customWidth="1"/>
    <col min="11803" max="11803" width="17" customWidth="1"/>
    <col min="11805" max="11805" width="16" customWidth="1"/>
    <col min="11806" max="11806" width="16.68359375" customWidth="1"/>
    <col min="11807" max="11807" width="13.26171875" customWidth="1"/>
    <col min="12051" max="12051" width="13.68359375" customWidth="1"/>
    <col min="12052" max="12052" width="14.26171875" customWidth="1"/>
    <col min="12053" max="12053" width="27.68359375" customWidth="1"/>
    <col min="12054" max="12054" width="19.15625" customWidth="1"/>
    <col min="12055" max="12055" width="23.26171875" customWidth="1"/>
    <col min="12056" max="12056" width="20.68359375" customWidth="1"/>
    <col min="12057" max="12057" width="23.15625" customWidth="1"/>
    <col min="12058" max="12058" width="24" customWidth="1"/>
    <col min="12059" max="12059" width="17" customWidth="1"/>
    <col min="12061" max="12061" width="16" customWidth="1"/>
    <col min="12062" max="12062" width="16.68359375" customWidth="1"/>
    <col min="12063" max="12063" width="13.26171875" customWidth="1"/>
    <col min="12307" max="12307" width="13.68359375" customWidth="1"/>
    <col min="12308" max="12308" width="14.26171875" customWidth="1"/>
    <col min="12309" max="12309" width="27.68359375" customWidth="1"/>
    <col min="12310" max="12310" width="19.15625" customWidth="1"/>
    <col min="12311" max="12311" width="23.26171875" customWidth="1"/>
    <col min="12312" max="12312" width="20.68359375" customWidth="1"/>
    <col min="12313" max="12313" width="23.15625" customWidth="1"/>
    <col min="12314" max="12314" width="24" customWidth="1"/>
    <col min="12315" max="12315" width="17" customWidth="1"/>
    <col min="12317" max="12317" width="16" customWidth="1"/>
    <col min="12318" max="12318" width="16.68359375" customWidth="1"/>
    <col min="12319" max="12319" width="13.26171875" customWidth="1"/>
    <col min="12563" max="12563" width="13.68359375" customWidth="1"/>
    <col min="12564" max="12564" width="14.26171875" customWidth="1"/>
    <col min="12565" max="12565" width="27.68359375" customWidth="1"/>
    <col min="12566" max="12566" width="19.15625" customWidth="1"/>
    <col min="12567" max="12567" width="23.26171875" customWidth="1"/>
    <col min="12568" max="12568" width="20.68359375" customWidth="1"/>
    <col min="12569" max="12569" width="23.15625" customWidth="1"/>
    <col min="12570" max="12570" width="24" customWidth="1"/>
    <col min="12571" max="12571" width="17" customWidth="1"/>
    <col min="12573" max="12573" width="16" customWidth="1"/>
    <col min="12574" max="12574" width="16.68359375" customWidth="1"/>
    <col min="12575" max="12575" width="13.26171875" customWidth="1"/>
    <col min="12819" max="12819" width="13.68359375" customWidth="1"/>
    <col min="12820" max="12820" width="14.26171875" customWidth="1"/>
    <col min="12821" max="12821" width="27.68359375" customWidth="1"/>
    <col min="12822" max="12822" width="19.15625" customWidth="1"/>
    <col min="12823" max="12823" width="23.26171875" customWidth="1"/>
    <col min="12824" max="12824" width="20.68359375" customWidth="1"/>
    <col min="12825" max="12825" width="23.15625" customWidth="1"/>
    <col min="12826" max="12826" width="24" customWidth="1"/>
    <col min="12827" max="12827" width="17" customWidth="1"/>
    <col min="12829" max="12829" width="16" customWidth="1"/>
    <col min="12830" max="12830" width="16.68359375" customWidth="1"/>
    <col min="12831" max="12831" width="13.26171875" customWidth="1"/>
    <col min="13075" max="13075" width="13.68359375" customWidth="1"/>
    <col min="13076" max="13076" width="14.26171875" customWidth="1"/>
    <col min="13077" max="13077" width="27.68359375" customWidth="1"/>
    <col min="13078" max="13078" width="19.15625" customWidth="1"/>
    <col min="13079" max="13079" width="23.26171875" customWidth="1"/>
    <col min="13080" max="13080" width="20.68359375" customWidth="1"/>
    <col min="13081" max="13081" width="23.15625" customWidth="1"/>
    <col min="13082" max="13082" width="24" customWidth="1"/>
    <col min="13083" max="13083" width="17" customWidth="1"/>
    <col min="13085" max="13085" width="16" customWidth="1"/>
    <col min="13086" max="13086" width="16.68359375" customWidth="1"/>
    <col min="13087" max="13087" width="13.26171875" customWidth="1"/>
    <col min="13331" max="13331" width="13.68359375" customWidth="1"/>
    <col min="13332" max="13332" width="14.26171875" customWidth="1"/>
    <col min="13333" max="13333" width="27.68359375" customWidth="1"/>
    <col min="13334" max="13334" width="19.15625" customWidth="1"/>
    <col min="13335" max="13335" width="23.26171875" customWidth="1"/>
    <col min="13336" max="13336" width="20.68359375" customWidth="1"/>
    <col min="13337" max="13337" width="23.15625" customWidth="1"/>
    <col min="13338" max="13338" width="24" customWidth="1"/>
    <col min="13339" max="13339" width="17" customWidth="1"/>
    <col min="13341" max="13341" width="16" customWidth="1"/>
    <col min="13342" max="13342" width="16.68359375" customWidth="1"/>
    <col min="13343" max="13343" width="13.26171875" customWidth="1"/>
    <col min="13587" max="13587" width="13.68359375" customWidth="1"/>
    <col min="13588" max="13588" width="14.26171875" customWidth="1"/>
    <col min="13589" max="13589" width="27.68359375" customWidth="1"/>
    <col min="13590" max="13590" width="19.15625" customWidth="1"/>
    <col min="13591" max="13591" width="23.26171875" customWidth="1"/>
    <col min="13592" max="13592" width="20.68359375" customWidth="1"/>
    <col min="13593" max="13593" width="23.15625" customWidth="1"/>
    <col min="13594" max="13594" width="24" customWidth="1"/>
    <col min="13595" max="13595" width="17" customWidth="1"/>
    <col min="13597" max="13597" width="16" customWidth="1"/>
    <col min="13598" max="13598" width="16.68359375" customWidth="1"/>
    <col min="13599" max="13599" width="13.26171875" customWidth="1"/>
    <col min="13843" max="13843" width="13.68359375" customWidth="1"/>
    <col min="13844" max="13844" width="14.26171875" customWidth="1"/>
    <col min="13845" max="13845" width="27.68359375" customWidth="1"/>
    <col min="13846" max="13846" width="19.15625" customWidth="1"/>
    <col min="13847" max="13847" width="23.26171875" customWidth="1"/>
    <col min="13848" max="13848" width="20.68359375" customWidth="1"/>
    <col min="13849" max="13849" width="23.15625" customWidth="1"/>
    <col min="13850" max="13850" width="24" customWidth="1"/>
    <col min="13851" max="13851" width="17" customWidth="1"/>
    <col min="13853" max="13853" width="16" customWidth="1"/>
    <col min="13854" max="13854" width="16.68359375" customWidth="1"/>
    <col min="13855" max="13855" width="13.26171875" customWidth="1"/>
    <col min="14099" max="14099" width="13.68359375" customWidth="1"/>
    <col min="14100" max="14100" width="14.26171875" customWidth="1"/>
    <col min="14101" max="14101" width="27.68359375" customWidth="1"/>
    <col min="14102" max="14102" width="19.15625" customWidth="1"/>
    <col min="14103" max="14103" width="23.26171875" customWidth="1"/>
    <col min="14104" max="14104" width="20.68359375" customWidth="1"/>
    <col min="14105" max="14105" width="23.15625" customWidth="1"/>
    <col min="14106" max="14106" width="24" customWidth="1"/>
    <col min="14107" max="14107" width="17" customWidth="1"/>
    <col min="14109" max="14109" width="16" customWidth="1"/>
    <col min="14110" max="14110" width="16.68359375" customWidth="1"/>
    <col min="14111" max="14111" width="13.26171875" customWidth="1"/>
    <col min="14355" max="14355" width="13.68359375" customWidth="1"/>
    <col min="14356" max="14356" width="14.26171875" customWidth="1"/>
    <col min="14357" max="14357" width="27.68359375" customWidth="1"/>
    <col min="14358" max="14358" width="19.15625" customWidth="1"/>
    <col min="14359" max="14359" width="23.26171875" customWidth="1"/>
    <col min="14360" max="14360" width="20.68359375" customWidth="1"/>
    <col min="14361" max="14361" width="23.15625" customWidth="1"/>
    <col min="14362" max="14362" width="24" customWidth="1"/>
    <col min="14363" max="14363" width="17" customWidth="1"/>
    <col min="14365" max="14365" width="16" customWidth="1"/>
    <col min="14366" max="14366" width="16.68359375" customWidth="1"/>
    <col min="14367" max="14367" width="13.26171875" customWidth="1"/>
    <col min="14611" max="14611" width="13.68359375" customWidth="1"/>
    <col min="14612" max="14612" width="14.26171875" customWidth="1"/>
    <col min="14613" max="14613" width="27.68359375" customWidth="1"/>
    <col min="14614" max="14614" width="19.15625" customWidth="1"/>
    <col min="14615" max="14615" width="23.26171875" customWidth="1"/>
    <col min="14616" max="14616" width="20.68359375" customWidth="1"/>
    <col min="14617" max="14617" width="23.15625" customWidth="1"/>
    <col min="14618" max="14618" width="24" customWidth="1"/>
    <col min="14619" max="14619" width="17" customWidth="1"/>
    <col min="14621" max="14621" width="16" customWidth="1"/>
    <col min="14622" max="14622" width="16.68359375" customWidth="1"/>
    <col min="14623" max="14623" width="13.26171875" customWidth="1"/>
    <col min="14867" max="14867" width="13.68359375" customWidth="1"/>
    <col min="14868" max="14868" width="14.26171875" customWidth="1"/>
    <col min="14869" max="14869" width="27.68359375" customWidth="1"/>
    <col min="14870" max="14870" width="19.15625" customWidth="1"/>
    <col min="14871" max="14871" width="23.26171875" customWidth="1"/>
    <col min="14872" max="14872" width="20.68359375" customWidth="1"/>
    <col min="14873" max="14873" width="23.15625" customWidth="1"/>
    <col min="14874" max="14874" width="24" customWidth="1"/>
    <col min="14875" max="14875" width="17" customWidth="1"/>
    <col min="14877" max="14877" width="16" customWidth="1"/>
    <col min="14878" max="14878" width="16.68359375" customWidth="1"/>
    <col min="14879" max="14879" width="13.26171875" customWidth="1"/>
    <col min="15123" max="15123" width="13.68359375" customWidth="1"/>
    <col min="15124" max="15124" width="14.26171875" customWidth="1"/>
    <col min="15125" max="15125" width="27.68359375" customWidth="1"/>
    <col min="15126" max="15126" width="19.15625" customWidth="1"/>
    <col min="15127" max="15127" width="23.26171875" customWidth="1"/>
    <col min="15128" max="15128" width="20.68359375" customWidth="1"/>
    <col min="15129" max="15129" width="23.15625" customWidth="1"/>
    <col min="15130" max="15130" width="24" customWidth="1"/>
    <col min="15131" max="15131" width="17" customWidth="1"/>
    <col min="15133" max="15133" width="16" customWidth="1"/>
    <col min="15134" max="15134" width="16.68359375" customWidth="1"/>
    <col min="15135" max="15135" width="13.26171875" customWidth="1"/>
    <col min="15379" max="15379" width="13.68359375" customWidth="1"/>
    <col min="15380" max="15380" width="14.26171875" customWidth="1"/>
    <col min="15381" max="15381" width="27.68359375" customWidth="1"/>
    <col min="15382" max="15382" width="19.15625" customWidth="1"/>
    <col min="15383" max="15383" width="23.26171875" customWidth="1"/>
    <col min="15384" max="15384" width="20.68359375" customWidth="1"/>
    <col min="15385" max="15385" width="23.15625" customWidth="1"/>
    <col min="15386" max="15386" width="24" customWidth="1"/>
    <col min="15387" max="15387" width="17" customWidth="1"/>
    <col min="15389" max="15389" width="16" customWidth="1"/>
    <col min="15390" max="15390" width="16.68359375" customWidth="1"/>
    <col min="15391" max="15391" width="13.26171875" customWidth="1"/>
    <col min="15635" max="15635" width="13.68359375" customWidth="1"/>
    <col min="15636" max="15636" width="14.26171875" customWidth="1"/>
    <col min="15637" max="15637" width="27.68359375" customWidth="1"/>
    <col min="15638" max="15638" width="19.15625" customWidth="1"/>
    <col min="15639" max="15639" width="23.26171875" customWidth="1"/>
    <col min="15640" max="15640" width="20.68359375" customWidth="1"/>
    <col min="15641" max="15641" width="23.15625" customWidth="1"/>
    <col min="15642" max="15642" width="24" customWidth="1"/>
    <col min="15643" max="15643" width="17" customWidth="1"/>
    <col min="15645" max="15645" width="16" customWidth="1"/>
    <col min="15646" max="15646" width="16.68359375" customWidth="1"/>
    <col min="15647" max="15647" width="13.26171875" customWidth="1"/>
    <col min="15891" max="15891" width="13.68359375" customWidth="1"/>
    <col min="15892" max="15892" width="14.26171875" customWidth="1"/>
    <col min="15893" max="15893" width="27.68359375" customWidth="1"/>
    <col min="15894" max="15894" width="19.15625" customWidth="1"/>
    <col min="15895" max="15895" width="23.26171875" customWidth="1"/>
    <col min="15896" max="15896" width="20.68359375" customWidth="1"/>
    <col min="15897" max="15897" width="23.15625" customWidth="1"/>
    <col min="15898" max="15898" width="24" customWidth="1"/>
    <col min="15899" max="15899" width="17" customWidth="1"/>
    <col min="15901" max="15901" width="16" customWidth="1"/>
    <col min="15902" max="15902" width="16.68359375" customWidth="1"/>
    <col min="15903" max="15903" width="13.26171875" customWidth="1"/>
    <col min="16147" max="16147" width="13.68359375" customWidth="1"/>
    <col min="16148" max="16148" width="14.26171875" customWidth="1"/>
    <col min="16149" max="16149" width="27.68359375" customWidth="1"/>
    <col min="16150" max="16150" width="19.15625" customWidth="1"/>
    <col min="16151" max="16151" width="23.26171875" customWidth="1"/>
    <col min="16152" max="16152" width="20.68359375" customWidth="1"/>
    <col min="16153" max="16153" width="23.15625" customWidth="1"/>
    <col min="16154" max="16154" width="24" customWidth="1"/>
    <col min="16155" max="16155" width="17" customWidth="1"/>
    <col min="16157" max="16157" width="16" customWidth="1"/>
    <col min="16158" max="16158" width="16.68359375" customWidth="1"/>
    <col min="16159" max="16159" width="13.26171875" customWidth="1"/>
  </cols>
  <sheetData>
    <row r="1" spans="1:38" x14ac:dyDescent="0.55000000000000004">
      <c r="A1" s="40" t="str">
        <f ca="1">MID(CELL("filename",A1),FIND("]",CELL("filename",A1))+1,255)</f>
        <v>Exogenous Costs</v>
      </c>
    </row>
    <row r="2" spans="1:38" x14ac:dyDescent="0.55000000000000004">
      <c r="A2" s="40" t="s">
        <v>32</v>
      </c>
    </row>
    <row r="3" spans="1:38" x14ac:dyDescent="0.55000000000000004">
      <c r="A3" s="40" t="s">
        <v>33</v>
      </c>
    </row>
    <row r="4" spans="1:38" x14ac:dyDescent="0.55000000000000004">
      <c r="A4" s="40" t="s">
        <v>34</v>
      </c>
    </row>
    <row r="5" spans="1:38" x14ac:dyDescent="0.55000000000000004">
      <c r="A5" s="98"/>
    </row>
    <row r="6" spans="1:38" ht="15.75" customHeight="1" x14ac:dyDescent="0.55000000000000004">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8" ht="15.75" customHeight="1" thickBot="1" x14ac:dyDescent="0.6">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1:38" ht="49.5" customHeight="1" x14ac:dyDescent="0.55000000000000004">
      <c r="A8" s="358" t="s">
        <v>35</v>
      </c>
      <c r="B8" s="359"/>
      <c r="C8" s="359"/>
      <c r="D8" s="358" t="str">
        <f>CONCATENATE(FilingYear," Contribution Factors, if published, otherwise use contribution factors embedded in current rates")</f>
        <v>2024 Contribution Factors, if published, otherwise use contribution factors embedded in current rates</v>
      </c>
      <c r="E8" s="359"/>
      <c r="F8" s="360"/>
    </row>
    <row r="9" spans="1:38" ht="38.25" customHeight="1" x14ac:dyDescent="0.55000000000000004">
      <c r="A9" s="90" t="s">
        <v>36</v>
      </c>
      <c r="B9" s="30" t="s">
        <v>37</v>
      </c>
      <c r="C9" s="31" t="s">
        <v>38</v>
      </c>
      <c r="D9" s="90" t="s">
        <v>36</v>
      </c>
      <c r="E9" s="30" t="s">
        <v>37</v>
      </c>
      <c r="F9" s="31" t="s">
        <v>38</v>
      </c>
      <c r="H9" s="8"/>
      <c r="I9" s="8"/>
      <c r="J9" s="8"/>
      <c r="K9" s="8"/>
      <c r="L9" s="8"/>
      <c r="M9" s="8"/>
      <c r="N9" s="8"/>
    </row>
    <row r="10" spans="1:38" ht="14.4" x14ac:dyDescent="0.55000000000000004">
      <c r="A10" s="91" t="s">
        <v>39</v>
      </c>
      <c r="B10" s="92"/>
      <c r="C10" s="93"/>
      <c r="D10" s="91" t="s">
        <v>39</v>
      </c>
      <c r="E10" s="92"/>
      <c r="F10" s="93"/>
      <c r="G10"/>
      <c r="H10"/>
      <c r="I10"/>
      <c r="J10"/>
      <c r="K10"/>
      <c r="L10"/>
      <c r="M10"/>
      <c r="N10"/>
    </row>
    <row r="11" spans="1:38" ht="14.4" x14ac:dyDescent="0.55000000000000004">
      <c r="A11" s="91" t="s">
        <v>40</v>
      </c>
      <c r="B11" s="94"/>
      <c r="C11" s="93"/>
      <c r="D11" s="91" t="s">
        <v>40</v>
      </c>
      <c r="E11" s="94"/>
      <c r="F11" s="93"/>
      <c r="G11"/>
      <c r="H11"/>
      <c r="I11"/>
      <c r="J11"/>
      <c r="K11"/>
      <c r="L11"/>
      <c r="M11"/>
      <c r="N11"/>
    </row>
    <row r="12" spans="1:38" ht="14.4" x14ac:dyDescent="0.55000000000000004">
      <c r="A12" s="91" t="s">
        <v>41</v>
      </c>
      <c r="B12" s="92"/>
      <c r="C12" s="93"/>
      <c r="D12" s="91" t="s">
        <v>41</v>
      </c>
      <c r="E12" s="92"/>
      <c r="F12" s="93"/>
      <c r="G12"/>
      <c r="H12"/>
      <c r="I12"/>
      <c r="J12"/>
      <c r="K12"/>
      <c r="L12"/>
      <c r="M12"/>
      <c r="N12"/>
    </row>
    <row r="13" spans="1:38" ht="15.75" customHeight="1" thickBot="1" x14ac:dyDescent="0.6">
      <c r="A13" s="95" t="s">
        <v>42</v>
      </c>
      <c r="B13" s="96"/>
      <c r="C13" s="97"/>
      <c r="D13" s="95" t="s">
        <v>42</v>
      </c>
      <c r="E13" s="96"/>
      <c r="F13" s="97"/>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row>
    <row r="14" spans="1:38" x14ac:dyDescent="0.55000000000000004">
      <c r="A14"/>
      <c r="B14"/>
    </row>
    <row r="15" spans="1:38" ht="15.6" thickBot="1" x14ac:dyDescent="0.6">
      <c r="A15"/>
      <c r="B15"/>
      <c r="E15" s="355"/>
      <c r="F15" s="355"/>
      <c r="G15" s="355"/>
      <c r="H15" s="355"/>
      <c r="I15" s="134"/>
      <c r="J15" s="134"/>
      <c r="K15" s="134"/>
      <c r="L15" s="134"/>
      <c r="M15" s="134"/>
      <c r="N15" s="134"/>
      <c r="Q15" s="54"/>
      <c r="R15" s="54"/>
      <c r="S15" s="54"/>
      <c r="T15" s="54"/>
      <c r="U15" s="54"/>
      <c r="V15" s="54"/>
      <c r="W15" s="54"/>
      <c r="X15" s="54"/>
      <c r="Y15" s="54"/>
      <c r="Z15" s="54"/>
      <c r="AA15" s="54"/>
      <c r="AB15" s="54"/>
      <c r="AC15" s="54"/>
      <c r="AL15" s="54"/>
    </row>
    <row r="16" spans="1:38" ht="69" customHeight="1" thickBot="1" x14ac:dyDescent="0.6">
      <c r="A16" s="98"/>
      <c r="E16" s="361" t="str">
        <f>CONCATENATE("Input from ",FilingYear," FCC Form 499A")</f>
        <v>Input from 2024 FCC Form 499A</v>
      </c>
      <c r="F16" s="362"/>
      <c r="G16" s="362"/>
      <c r="H16" s="362"/>
      <c r="I16" s="362"/>
      <c r="J16" s="362"/>
      <c r="K16" s="362"/>
      <c r="L16" s="362"/>
      <c r="M16" s="363"/>
      <c r="N16" s="287" t="str">
        <f>CONCATENATE("Input from ",FilingYear," FCC Form 159-W",CHAR(10),"(If FCC Form 159-W is unavailable, calculate using lines from ",FilingYear," FCC Form 499-A and input the result below)")</f>
        <v>Input from 2024 FCC Form 159-W
(If FCC Form 159-W is unavailable, calculate using lines from 2024 FCC Form 499-A and input the result below)</v>
      </c>
      <c r="O16" s="55"/>
      <c r="P16" s="56"/>
      <c r="Q16" s="57"/>
      <c r="R16" s="58"/>
      <c r="S16" s="338" t="str">
        <f>CONCATENATE("Exogenous Costs Using ",DemandYear," Contribution Factors - BDS Non Competitive Services")</f>
        <v>Exogenous Costs Using 2023 Contribution Factors - BDS Non Competitive Services</v>
      </c>
      <c r="T16" s="339"/>
      <c r="U16" s="339"/>
      <c r="V16" s="339"/>
      <c r="W16" s="339"/>
      <c r="X16" s="339"/>
      <c r="Y16" s="339"/>
      <c r="Z16" s="340"/>
      <c r="AA16" s="341" t="str">
        <f>CONCATENATE("Exogenous Costs Using ",FilingYear," Contribution Factors (if available) - BDS Non Competitive Services")</f>
        <v>Exogenous Costs Using 2024 Contribution Factors (if available) - BDS Non Competitive Services</v>
      </c>
      <c r="AB16" s="342"/>
      <c r="AC16" s="342"/>
      <c r="AD16" s="342"/>
      <c r="AE16" s="342"/>
      <c r="AF16" s="342"/>
      <c r="AG16" s="342"/>
      <c r="AH16" s="343"/>
      <c r="AI16" s="77"/>
      <c r="AJ16" s="78"/>
    </row>
    <row r="17" spans="1:36" ht="171" customHeight="1" x14ac:dyDescent="0.55000000000000004">
      <c r="A17" s="18" t="s">
        <v>43</v>
      </c>
      <c r="B17" s="19" t="s">
        <v>44</v>
      </c>
      <c r="C17" s="19" t="s">
        <v>45</v>
      </c>
      <c r="D17" s="35" t="s">
        <v>46</v>
      </c>
      <c r="E17" s="226" t="s">
        <v>47</v>
      </c>
      <c r="F17" s="19" t="s">
        <v>48</v>
      </c>
      <c r="G17" s="19" t="s">
        <v>49</v>
      </c>
      <c r="H17" s="19" t="s">
        <v>50</v>
      </c>
      <c r="I17" s="19" t="s">
        <v>51</v>
      </c>
      <c r="J17" s="19" t="s">
        <v>52</v>
      </c>
      <c r="K17" s="19" t="s">
        <v>53</v>
      </c>
      <c r="L17" s="19" t="s">
        <v>54</v>
      </c>
      <c r="M17" s="87" t="s">
        <v>55</v>
      </c>
      <c r="N17" s="42" t="s">
        <v>56</v>
      </c>
      <c r="O17" s="59" t="s">
        <v>57</v>
      </c>
      <c r="P17" s="60" t="s">
        <v>58</v>
      </c>
      <c r="Q17" s="61" t="s">
        <v>59</v>
      </c>
      <c r="R17" s="150" t="str">
        <f>CONCATENATE("End User Revenues from BDS Ex Ante Rate Elements / End User Total Special Access Revenues (including DSL and ETS) from ",DemandYear,"**")</f>
        <v>End User Revenues from BDS Ex Ante Rate Elements / End User Total Special Access Revenues (including DSL and ETS) from 2023**</v>
      </c>
      <c r="S17" s="151" t="str">
        <f>CONCATENATE("Was your study area required to pay Regulatory Fees in ",DemandYear,"?")</f>
        <v>Was your study area required to pay Regulatory Fees in 2023?</v>
      </c>
      <c r="T17" s="19" t="s">
        <v>60</v>
      </c>
      <c r="U17" s="62" t="s">
        <v>61</v>
      </c>
      <c r="V17" s="62" t="s">
        <v>62</v>
      </c>
      <c r="W17" s="62" t="s">
        <v>63</v>
      </c>
      <c r="X17" s="19" t="s">
        <v>64</v>
      </c>
      <c r="Y17" s="152" t="str">
        <f>CONCATENATE("Sum ",DemandYear," Exog Costs")</f>
        <v>Sum 2023 Exog Costs</v>
      </c>
      <c r="Z17" s="153" t="str">
        <f>CONCATENATE("BDS Portion of ",DemandYear," Exogenous Costs")</f>
        <v>BDS Portion of 2023 Exogenous Costs</v>
      </c>
      <c r="AA17" s="151" t="str">
        <f>CONCATENATE("Is your study area required to pay Regulatory Fees in ",FilingYear,"?")</f>
        <v>Is your study area required to pay Regulatory Fees in 2024?</v>
      </c>
      <c r="AB17" s="19" t="s">
        <v>60</v>
      </c>
      <c r="AC17" s="62" t="s">
        <v>61</v>
      </c>
      <c r="AD17" s="62" t="s">
        <v>62</v>
      </c>
      <c r="AE17" s="62" t="s">
        <v>63</v>
      </c>
      <c r="AF17" s="62" t="s">
        <v>64</v>
      </c>
      <c r="AG17" s="152" t="str">
        <f>CONCATENATE("Sum ",FilingYear," Exog Costs")</f>
        <v>Sum 2024 Exog Costs</v>
      </c>
      <c r="AH17" s="153" t="str">
        <f>CONCATENATE("BDS Portion of ",FilingYear," Exogenous Costs")</f>
        <v>BDS Portion of 2024 Exogenous Costs</v>
      </c>
      <c r="AI17" s="79" t="s">
        <v>65</v>
      </c>
      <c r="AJ17" s="41" t="s">
        <v>66</v>
      </c>
    </row>
    <row r="18" spans="1:36" ht="14.4" x14ac:dyDescent="0.55000000000000004">
      <c r="A18" s="99"/>
      <c r="B18" s="100"/>
      <c r="C18" s="100"/>
      <c r="D18" s="101"/>
      <c r="E18" s="63" t="str">
        <f t="shared" ref="E18:N18" si="0">"Col "&amp;COLUMN(E18)-4</f>
        <v>Col 1</v>
      </c>
      <c r="F18" s="64" t="str">
        <f t="shared" si="0"/>
        <v>Col 2</v>
      </c>
      <c r="G18" s="64" t="str">
        <f t="shared" si="0"/>
        <v>Col 3</v>
      </c>
      <c r="H18" s="64" t="str">
        <f t="shared" si="0"/>
        <v>Col 4</v>
      </c>
      <c r="I18" s="64" t="str">
        <f t="shared" si="0"/>
        <v>Col 5</v>
      </c>
      <c r="J18" s="64" t="str">
        <f t="shared" si="0"/>
        <v>Col 6</v>
      </c>
      <c r="K18" s="64" t="str">
        <f t="shared" si="0"/>
        <v>Col 7</v>
      </c>
      <c r="L18" s="64" t="str">
        <f t="shared" si="0"/>
        <v>Col 8</v>
      </c>
      <c r="M18" s="102" t="str">
        <f t="shared" si="0"/>
        <v>Col 9</v>
      </c>
      <c r="N18" s="103" t="str">
        <f t="shared" si="0"/>
        <v>Col 10</v>
      </c>
      <c r="O18" s="63" t="str">
        <f t="shared" ref="O18:AJ18" si="1">"Col "&amp;COLUMN(O18)-4</f>
        <v>Col 11</v>
      </c>
      <c r="P18" s="64" t="str">
        <f t="shared" si="1"/>
        <v>Col 12</v>
      </c>
      <c r="Q18" s="65" t="str">
        <f t="shared" si="1"/>
        <v>Col 13</v>
      </c>
      <c r="R18" s="66" t="str">
        <f t="shared" si="1"/>
        <v>Col 14</v>
      </c>
      <c r="S18" s="67" t="str">
        <f t="shared" si="1"/>
        <v>Col 15</v>
      </c>
      <c r="T18" s="64" t="str">
        <f t="shared" si="1"/>
        <v>Col 16</v>
      </c>
      <c r="U18" s="64" t="str">
        <f t="shared" si="1"/>
        <v>Col 17</v>
      </c>
      <c r="V18" s="64" t="str">
        <f t="shared" si="1"/>
        <v>Col 18</v>
      </c>
      <c r="W18" s="64" t="str">
        <f t="shared" si="1"/>
        <v>Col 19</v>
      </c>
      <c r="X18" s="64" t="str">
        <f t="shared" si="1"/>
        <v>Col 20</v>
      </c>
      <c r="Y18" s="64" t="str">
        <f t="shared" si="1"/>
        <v>Col 21</v>
      </c>
      <c r="Z18" s="65" t="str">
        <f t="shared" si="1"/>
        <v>Col 22</v>
      </c>
      <c r="AA18" s="67" t="str">
        <f t="shared" si="1"/>
        <v>Col 23</v>
      </c>
      <c r="AB18" s="63" t="str">
        <f t="shared" si="1"/>
        <v>Col 24</v>
      </c>
      <c r="AC18" s="63" t="str">
        <f t="shared" si="1"/>
        <v>Col 25</v>
      </c>
      <c r="AD18" s="63" t="str">
        <f t="shared" si="1"/>
        <v>Col 26</v>
      </c>
      <c r="AE18" s="64" t="str">
        <f t="shared" si="1"/>
        <v>Col 27</v>
      </c>
      <c r="AF18" s="64" t="str">
        <f t="shared" si="1"/>
        <v>Col 28</v>
      </c>
      <c r="AG18" s="64" t="str">
        <f t="shared" si="1"/>
        <v>Col 29</v>
      </c>
      <c r="AH18" s="65" t="str">
        <f t="shared" si="1"/>
        <v>Col 30</v>
      </c>
      <c r="AI18" s="68" t="str">
        <f t="shared" si="1"/>
        <v>Col 31</v>
      </c>
      <c r="AJ18" s="68" t="str">
        <f t="shared" si="1"/>
        <v>Col 32</v>
      </c>
    </row>
    <row r="19" spans="1:36" ht="127.5" customHeight="1" x14ac:dyDescent="0.55000000000000004">
      <c r="A19" s="104" t="s">
        <v>67</v>
      </c>
      <c r="B19" s="105" t="s">
        <v>67</v>
      </c>
      <c r="C19" s="105" t="s">
        <v>67</v>
      </c>
      <c r="D19" s="106" t="s">
        <v>67</v>
      </c>
      <c r="E19" s="63" t="s">
        <v>67</v>
      </c>
      <c r="F19" s="64" t="s">
        <v>67</v>
      </c>
      <c r="G19" s="64" t="s">
        <v>67</v>
      </c>
      <c r="H19" s="64" t="s">
        <v>67</v>
      </c>
      <c r="I19" s="64" t="s">
        <v>67</v>
      </c>
      <c r="J19" s="64" t="s">
        <v>67</v>
      </c>
      <c r="K19" s="64" t="s">
        <v>67</v>
      </c>
      <c r="L19" s="64" t="s">
        <v>67</v>
      </c>
      <c r="M19" s="64" t="s">
        <v>67</v>
      </c>
      <c r="N19" s="103" t="s">
        <v>67</v>
      </c>
      <c r="O19" s="63" t="str">
        <f>E18&amp;" / ("&amp;I18&amp;" - "&amp;E18&amp;")"</f>
        <v>Col 1 / (Col 5 - Col 1)</v>
      </c>
      <c r="P19" s="64" t="str">
        <f>F18&amp;" x (1 + "&amp;O18&amp;")"</f>
        <v>Col 2 x (1 + Col 11)</v>
      </c>
      <c r="Q19" s="65" t="str">
        <f>P18&amp;" / "&amp;I18</f>
        <v>Col 12 / Col 5</v>
      </c>
      <c r="R19" s="69" t="s">
        <v>67</v>
      </c>
      <c r="S19" s="67" t="s">
        <v>68</v>
      </c>
      <c r="T19" s="154" t="str">
        <f>CONCATENATE("(",$G$18," + ",$I$18," + ",$J$18," - ",$N$18,") x ",DemandYear," Reg Fee Factor.  If EC is exempt or result is less than $1,000, Reg Fee = $0")</f>
        <v>(Col 3 + Col 5 + Col 6 - Col 10) x 2023 Reg Fee Factor.  If EC is exempt or result is less than $1,000, Reg Fee = $0</v>
      </c>
      <c r="U19" s="154" t="str">
        <f>CONCATENATE(L18," x ",DemandYear," IP TRS Factor")</f>
        <v>Col 8 x 2023 IP TRS Factor</v>
      </c>
      <c r="V19" s="155" t="str">
        <f>CONCATENATE(M18," x ",DemandYear," TRS Factor")</f>
        <v>Col 9 x 2023 TRS Factor</v>
      </c>
      <c r="W19" s="64" t="str">
        <f>CONCATENATE("If ",H18," greater than $0, maximum value of sum of ",U18," + ",V18,", and $25. If ",H18," = $0, Total TRS Fee = $0")</f>
        <v>If Col 4 greater than $0, maximum value of sum of Col 17 + Col 18, and $25. If Col 4 = $0, Total TRS Fee = $0</v>
      </c>
      <c r="X19" s="155" t="str">
        <f>CONCATENATE("Maximum value of (",H18," + ",G18," - ",K18,") x ",DemandYear," NANPA Factor and $25")</f>
        <v>Maximum value of (Col 4 + Col 3 - Col 7) x 2023 NANPA Factor and $25</v>
      </c>
      <c r="Y19" s="64" t="str">
        <f>CONCATENATE(S18," + ",W18," + ",X18)</f>
        <v>Col 15 + Col 19 + Col 20</v>
      </c>
      <c r="Z19" s="65" t="str">
        <f>CONCATENATE(Y18," x ",Q18," x ",R18)</f>
        <v>Col 21 x Col 13 x Col 14</v>
      </c>
      <c r="AA19" s="70" t="s">
        <v>68</v>
      </c>
      <c r="AB19" s="156" t="str">
        <f>CONCATENATE("(",$G$18," + ",$I$18," + ",$J$18," - ",$N$18,") x ",FilingYear," Reg Fee Factor.  If EC is exempt or result is less than $1,000, Reg Fee = $0")</f>
        <v>(Col 3 + Col 5 + Col 6 - Col 10) x 2024 Reg Fee Factor.  If EC is exempt or result is less than $1,000, Reg Fee = $0</v>
      </c>
      <c r="AC19" s="157" t="str">
        <f>CONCATENATE(L18," x ",FilingYear," IP TRS Fee Factor")</f>
        <v>Col 8 x 2024 IP TRS Fee Factor</v>
      </c>
      <c r="AD19" s="158" t="str">
        <f>CONCATENATE(M18," x ",FilingYear," Other TRS Fee Factor")</f>
        <v>Col 9 x 2024 Other TRS Fee Factor</v>
      </c>
      <c r="AE19" s="71" t="str">
        <f>CONCATENATE("If ",H18," greater than $0, maximum value of sum of ",AC18," + ",AD18,", and $25. If ",H18," = $0, Total TRS Fee = $0")</f>
        <v>If Col 4 greater than $0, maximum value of sum of Col 25 + Col 26, and $25. If Col 4 = $0, Total TRS Fee = $0</v>
      </c>
      <c r="AF19" s="158" t="str">
        <f>CONCATENATE("(",H18," + ",G18," - ",K18,")"," x ",FilingYear," NANPA Fee Factor")</f>
        <v>(Col 4 + Col 3 - Col 7) x 2024 NANPA Fee Factor</v>
      </c>
      <c r="AG19" s="71" t="str">
        <f>CONCATENATE(AB18," + ",AE18," + ",AF18)</f>
        <v>Col 24 + Col 27 + Col 28</v>
      </c>
      <c r="AH19" s="81" t="str">
        <f>CONCATENATE(AG18," x ",Q18," x ",R18)</f>
        <v>Col 29 x Col 13 x Col 14</v>
      </c>
      <c r="AI19" s="80" t="str">
        <f>CONCATENATE("(3/9) x (",AE18," - ",W18,") x ",Q18," x ",R18," for Mid-course filing, $0 for annual filing")</f>
        <v>(3/9) x (Col 27 - Col 19) x Col 13 x Col 14 for Mid-course filing, $0 for annual filing</v>
      </c>
      <c r="AJ19" s="72" t="str">
        <f>CONCATENATE(AH18," + ",AI18," - ",Z18)</f>
        <v>Col 30 + Col 31 - Col 22</v>
      </c>
    </row>
    <row r="20" spans="1:36" ht="14.4" x14ac:dyDescent="0.55000000000000004">
      <c r="A20" s="262" t="s">
        <v>69</v>
      </c>
      <c r="B20" s="238" t="s">
        <v>70</v>
      </c>
      <c r="C20" s="166" t="s">
        <v>71</v>
      </c>
      <c r="D20" s="263" t="s">
        <v>72</v>
      </c>
      <c r="E20" s="227"/>
      <c r="F20" s="107"/>
      <c r="G20" s="107"/>
      <c r="H20" s="107"/>
      <c r="I20" s="107"/>
      <c r="J20" s="107"/>
      <c r="K20" s="107"/>
      <c r="L20" s="107"/>
      <c r="M20" s="108"/>
      <c r="N20" s="109"/>
      <c r="O20" s="73">
        <f>IFERROR((E20/(I20-E20)),0)</f>
        <v>0</v>
      </c>
      <c r="P20" s="38">
        <f t="shared" ref="P20:P22" si="2">ROUND(F20*(1+O20),2)</f>
        <v>0</v>
      </c>
      <c r="Q20" s="74">
        <f>IFERROR(ROUND((P20/I20),6),0)</f>
        <v>0</v>
      </c>
      <c r="R20" s="76"/>
      <c r="S20" s="75">
        <v>1</v>
      </c>
      <c r="T20" s="38">
        <f>IFERROR(IF(SUM(G20+I20+J20-N20)*$B$10*S20&lt;=1000,0,SUM(G20+I20+J20-N20)*$B$10*S20),"NA")</f>
        <v>0</v>
      </c>
      <c r="U20" s="38">
        <f>IFERROR(L20*$B$13,"NA")</f>
        <v>0</v>
      </c>
      <c r="V20" s="38">
        <f>IFERROR(M20*$B$12,"NA")</f>
        <v>0</v>
      </c>
      <c r="W20" s="38">
        <f>IFERROR(IF(H20&gt;0,MAX(SUM(U20:V20),25),0),"NA")</f>
        <v>0</v>
      </c>
      <c r="X20" s="38">
        <f>IFERROR(MAX(SUM(H20,G20,-K20)*$B$11,25),"NA")</f>
        <v>25</v>
      </c>
      <c r="Y20" s="38">
        <f>IFERROR(SUM(T20,W20,X20),"NA")</f>
        <v>25</v>
      </c>
      <c r="Z20" s="52">
        <f>IFERROR(Y20*Q20*R20,"NA")</f>
        <v>0</v>
      </c>
      <c r="AA20" s="75">
        <v>1</v>
      </c>
      <c r="AB20" s="38">
        <f>IFERROR(IF(SUM(G20,I20,J20,-N20)*$E$10*AA20&lt;=1000,0,SUM(G20,I20,J20,-N20)*$E$10*AA20),"NA")</f>
        <v>0</v>
      </c>
      <c r="AC20" s="38">
        <f>IFERROR(L20*$E$13,"NA")</f>
        <v>0</v>
      </c>
      <c r="AD20" s="38">
        <f>IFERROR(M20*$E$12,"NA")</f>
        <v>0</v>
      </c>
      <c r="AE20" s="38">
        <f>IFERROR(IF(H20&gt;0,MAX(SUM(AC20:AD20),25),0),"NA")</f>
        <v>0</v>
      </c>
      <c r="AF20" s="38">
        <f>IFERROR(MAX(SUM(H20,G20,-K20)*$E$11,25),"NA")</f>
        <v>25</v>
      </c>
      <c r="AG20" s="38">
        <f>IFERROR(SUM(AB20,AE20,AF20),"NA")</f>
        <v>25</v>
      </c>
      <c r="AH20" s="52">
        <f>IFERROR(AG20*Q20*R20,"NA")</f>
        <v>0</v>
      </c>
      <c r="AI20" s="53">
        <v>0</v>
      </c>
      <c r="AJ20" s="53">
        <f>IFERROR(ROUND(AH20+AI20-Z20,2),"NA")</f>
        <v>0</v>
      </c>
    </row>
    <row r="21" spans="1:36" ht="14.4" x14ac:dyDescent="0.55000000000000004">
      <c r="A21" s="262" t="s">
        <v>69</v>
      </c>
      <c r="B21" s="238" t="s">
        <v>70</v>
      </c>
      <c r="C21" s="166" t="s">
        <v>73</v>
      </c>
      <c r="D21" s="263" t="s">
        <v>74</v>
      </c>
      <c r="E21" s="227"/>
      <c r="F21" s="107"/>
      <c r="G21" s="107"/>
      <c r="H21" s="107"/>
      <c r="I21" s="107"/>
      <c r="J21" s="107"/>
      <c r="K21" s="107"/>
      <c r="L21" s="107"/>
      <c r="M21" s="108"/>
      <c r="N21" s="109"/>
      <c r="O21" s="73">
        <f t="shared" ref="O21:O22" si="3">IFERROR((E21/(I21-E21)),0)</f>
        <v>0</v>
      </c>
      <c r="P21" s="38">
        <f t="shared" si="2"/>
        <v>0</v>
      </c>
      <c r="Q21" s="74">
        <f>IFERROR(ROUND((P21/I21),6),0)</f>
        <v>0</v>
      </c>
      <c r="R21" s="76"/>
      <c r="S21" s="75">
        <v>1</v>
      </c>
      <c r="T21" s="38">
        <f t="shared" ref="T21" si="4">IFERROR(IF(SUM(G21+I21+J21-N21)*$B$10*S21&lt;=1000,0,SUM(G21+I21+J21-N21)*$B$10*S21),"NA")</f>
        <v>0</v>
      </c>
      <c r="U21" s="38">
        <f t="shared" ref="U21" si="5">IFERROR(L21*$B$13,"NA")</f>
        <v>0</v>
      </c>
      <c r="V21" s="38">
        <f t="shared" ref="V21" si="6">IFERROR(M21*$B$12,"NA")</f>
        <v>0</v>
      </c>
      <c r="W21" s="38">
        <f t="shared" ref="W21" si="7">IFERROR(IF(H21&gt;0,MAX(SUM(U21:V21),25),0),"NA")</f>
        <v>0</v>
      </c>
      <c r="X21" s="38">
        <f>IFERROR(MAX(SUM(H21,G21,-K21)*$B$11,25),"NA")</f>
        <v>25</v>
      </c>
      <c r="Y21" s="38">
        <f t="shared" ref="Y21" si="8">IFERROR(SUM(T21,W21,X21),"NA")</f>
        <v>25</v>
      </c>
      <c r="Z21" s="52">
        <f t="shared" ref="Z21" si="9">IFERROR(Y21*Q21*R21,"NA")</f>
        <v>0</v>
      </c>
      <c r="AA21" s="75">
        <v>1</v>
      </c>
      <c r="AB21" s="38">
        <f t="shared" ref="AB21" si="10">IFERROR(IF(SUM(G21,I21,J21,-N21)*$E$10*AA21&lt;=1000,0,SUM(G21,I21,J21,-N21)*$E$10*AA21),"NA")</f>
        <v>0</v>
      </c>
      <c r="AC21" s="38">
        <f t="shared" ref="AC21" si="11">IFERROR(L21*$E$13,"NA")</f>
        <v>0</v>
      </c>
      <c r="AD21" s="38">
        <f t="shared" ref="AD21" si="12">IFERROR(M21*$E$12,"NA")</f>
        <v>0</v>
      </c>
      <c r="AE21" s="38">
        <f t="shared" ref="AE21" si="13">IFERROR(IF(H21&gt;0,MAX(SUM(AC21:AD21),25),0),"NA")</f>
        <v>0</v>
      </c>
      <c r="AF21" s="38">
        <f>IFERROR(MAX(SUM(H21,G21,-K21)*$E$11,25),"NA")</f>
        <v>25</v>
      </c>
      <c r="AG21" s="38">
        <f t="shared" ref="AG21" si="14">IFERROR(SUM(AB21,AE21,AF21),"NA")</f>
        <v>25</v>
      </c>
      <c r="AH21" s="52">
        <f t="shared" ref="AH21" si="15">IFERROR(AG21*Q21*R21,"NA")</f>
        <v>0</v>
      </c>
      <c r="AI21" s="53">
        <v>0</v>
      </c>
      <c r="AJ21" s="53">
        <f t="shared" ref="AJ21" si="16">IFERROR(ROUND(AH21+AI21-Z21,2),"NA")</f>
        <v>0</v>
      </c>
    </row>
    <row r="22" spans="1:36" ht="14.7" thickBot="1" x14ac:dyDescent="0.6">
      <c r="A22" s="264" t="s">
        <v>69</v>
      </c>
      <c r="B22" s="265" t="s">
        <v>70</v>
      </c>
      <c r="C22" s="266" t="s">
        <v>75</v>
      </c>
      <c r="D22" s="267" t="s">
        <v>76</v>
      </c>
      <c r="E22" s="228"/>
      <c r="F22" s="110"/>
      <c r="G22" s="110"/>
      <c r="H22" s="110"/>
      <c r="I22" s="110"/>
      <c r="J22" s="110"/>
      <c r="K22" s="110"/>
      <c r="L22" s="110"/>
      <c r="M22" s="111"/>
      <c r="N22" s="112"/>
      <c r="O22" s="73">
        <f t="shared" si="3"/>
        <v>0</v>
      </c>
      <c r="P22" s="38">
        <f t="shared" si="2"/>
        <v>0</v>
      </c>
      <c r="Q22" s="74">
        <f>IFERROR(ROUND((P22/I22),6),0)</f>
        <v>0</v>
      </c>
      <c r="R22" s="82"/>
      <c r="S22" s="75">
        <v>1</v>
      </c>
      <c r="T22" s="38">
        <f t="shared" ref="T22" si="17">IFERROR(IF(SUM(G22+I22+J22-N22)*$B$10*S22&lt;=1000,0,SUM(G22+I22+J22-N22)*$B$10*S22),"NA")</f>
        <v>0</v>
      </c>
      <c r="U22" s="38">
        <f t="shared" ref="U22" si="18">IFERROR(L22*$B$13,"NA")</f>
        <v>0</v>
      </c>
      <c r="V22" s="38">
        <f t="shared" ref="V22" si="19">IFERROR(M22*$B$12,"NA")</f>
        <v>0</v>
      </c>
      <c r="W22" s="38">
        <f t="shared" ref="W22" si="20">IFERROR(IF(H22&gt;0,MAX(SUM(U22:V22),25),0),"NA")</f>
        <v>0</v>
      </c>
      <c r="X22" s="38">
        <f>IFERROR(MAX(SUM(H22,G22,-K22)*$B$11,25),"NA")</f>
        <v>25</v>
      </c>
      <c r="Y22" s="38">
        <f t="shared" ref="Y22" si="21">IFERROR(SUM(T22,W22,X22),"NA")</f>
        <v>25</v>
      </c>
      <c r="Z22" s="52">
        <f t="shared" ref="Z22" si="22">IFERROR(Y22*Q22*R22,"NA")</f>
        <v>0</v>
      </c>
      <c r="AA22" s="75">
        <v>1</v>
      </c>
      <c r="AB22" s="38">
        <f t="shared" ref="AB22" si="23">IFERROR(IF(SUM(G22,I22,J22,-N22)*$E$10*AA22&lt;=1000,0,SUM(G22,I22,J22,-N22)*$E$10*AA22),"NA")</f>
        <v>0</v>
      </c>
      <c r="AC22" s="38">
        <f t="shared" ref="AC22" si="24">IFERROR(L22*$E$13,"NA")</f>
        <v>0</v>
      </c>
      <c r="AD22" s="38">
        <f t="shared" ref="AD22" si="25">IFERROR(M22*$E$12,"NA")</f>
        <v>0</v>
      </c>
      <c r="AE22" s="38">
        <f t="shared" ref="AE22" si="26">IFERROR(IF(H22&gt;0,MAX(SUM(AC22:AD22),25),0),"NA")</f>
        <v>0</v>
      </c>
      <c r="AF22" s="38">
        <f>IFERROR(MAX(SUM(H22,G22,-K22)*$E$11,25),"NA")</f>
        <v>25</v>
      </c>
      <c r="AG22" s="38">
        <f t="shared" ref="AG22" si="27">IFERROR(SUM(AB22,AE22,AF22),"NA")</f>
        <v>25</v>
      </c>
      <c r="AH22" s="52">
        <f t="shared" ref="AH22" si="28">IFERROR(AG22*Q22*R22,"NA")</f>
        <v>0</v>
      </c>
      <c r="AI22" s="53">
        <v>0</v>
      </c>
      <c r="AJ22" s="53">
        <f t="shared" ref="AJ22" si="29">IFERROR(ROUND(AH22+AI22-Z22,2),"NA")</f>
        <v>0</v>
      </c>
    </row>
    <row r="23" spans="1:36" ht="14.7" thickBot="1" x14ac:dyDescent="0.6">
      <c r="A23" s="288" t="str">
        <f>A20</f>
        <v>000000001</v>
      </c>
      <c r="B23" s="289" t="str">
        <f>B20</f>
        <v>Example Holding Company</v>
      </c>
      <c r="C23" s="356" t="str">
        <f>"Total For "&amp;TEXT(B23, )</f>
        <v>Total For Example Holding Company</v>
      </c>
      <c r="D23" s="357"/>
      <c r="E23" s="344"/>
      <c r="F23" s="344"/>
      <c r="G23" s="344"/>
      <c r="H23" s="344"/>
      <c r="I23" s="344"/>
      <c r="J23" s="344"/>
      <c r="K23" s="344"/>
      <c r="L23" s="344"/>
      <c r="M23" s="345"/>
      <c r="N23" s="136"/>
      <c r="O23" s="346"/>
      <c r="P23" s="347"/>
      <c r="Q23" s="348"/>
      <c r="R23" s="137"/>
      <c r="S23" s="349"/>
      <c r="T23" s="350"/>
      <c r="U23" s="350"/>
      <c r="V23" s="350"/>
      <c r="W23" s="350"/>
      <c r="X23" s="350"/>
      <c r="Y23" s="350"/>
      <c r="Z23" s="351"/>
      <c r="AA23" s="352"/>
      <c r="AB23" s="353"/>
      <c r="AC23" s="353"/>
      <c r="AD23" s="353"/>
      <c r="AE23" s="353"/>
      <c r="AF23" s="353"/>
      <c r="AG23" s="353"/>
      <c r="AH23" s="353"/>
      <c r="AI23" s="354"/>
      <c r="AJ23" s="138">
        <f>SUM(AJ20:AJ22)</f>
        <v>0</v>
      </c>
    </row>
    <row r="24" spans="1:36" x14ac:dyDescent="0.55000000000000004">
      <c r="A24"/>
      <c r="B24"/>
      <c r="C24"/>
      <c r="D24" s="113"/>
      <c r="E24" s="113"/>
      <c r="F24" s="113"/>
      <c r="G24"/>
      <c r="H24"/>
      <c r="I24"/>
      <c r="J24"/>
      <c r="K24"/>
      <c r="L24"/>
      <c r="M24"/>
      <c r="N24"/>
    </row>
    <row r="25" spans="1:36" x14ac:dyDescent="0.55000000000000004">
      <c r="A25" s="47" t="s">
        <v>77</v>
      </c>
      <c r="B25" s="48"/>
      <c r="D25"/>
      <c r="K25" s="45"/>
      <c r="AJ25" s="83"/>
    </row>
    <row r="26" spans="1:36" x14ac:dyDescent="0.55000000000000004">
      <c r="A26" s="47" t="s">
        <v>78</v>
      </c>
    </row>
  </sheetData>
  <mergeCells count="11">
    <mergeCell ref="E15:H15"/>
    <mergeCell ref="C23:D23"/>
    <mergeCell ref="A8:C8"/>
    <mergeCell ref="D8:F8"/>
    <mergeCell ref="E16:M16"/>
    <mergeCell ref="S16:Z16"/>
    <mergeCell ref="AA16:AH16"/>
    <mergeCell ref="E23:M23"/>
    <mergeCell ref="O23:Q23"/>
    <mergeCell ref="S23:Z23"/>
    <mergeCell ref="AA23:AI23"/>
  </mergeCells>
  <phoneticPr fontId="24" type="noConversion"/>
  <dataValidations count="1">
    <dataValidation type="list" allowBlank="1" showInputMessage="1" showErrorMessage="1" sqref="S20:S22 AA20:AA23" xr:uid="{1C3AA448-9144-44E3-B941-1B6FA728FE75}">
      <formula1>"1,0"</formula1>
    </dataValidation>
  </dataValidations>
  <pageMargins left="0.25" right="0.25" top="0.75" bottom="0.75" header="0.3" footer="0.3"/>
  <pageSetup paperSize="5"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724BB-C58C-41AD-8D8D-EC39E409E275}">
  <sheetPr>
    <pageSetUpPr fitToPage="1"/>
  </sheetPr>
  <dimension ref="A1:P151"/>
  <sheetViews>
    <sheetView zoomScale="70" zoomScaleNormal="70" workbookViewId="0"/>
  </sheetViews>
  <sheetFormatPr defaultColWidth="9.15625" defaultRowHeight="14.4" x14ac:dyDescent="0.55000000000000004"/>
  <cols>
    <col min="1" max="1" width="59" style="26" customWidth="1"/>
    <col min="2" max="2" width="49.26171875" style="27" customWidth="1"/>
    <col min="3" max="3" width="15.68359375" style="17" customWidth="1"/>
    <col min="4" max="8" width="15.68359375" style="3" customWidth="1"/>
    <col min="9" max="11" width="15.68359375" style="4" customWidth="1"/>
    <col min="12" max="12" width="15.68359375" style="5" customWidth="1"/>
    <col min="13" max="15" width="18.26171875" style="14" customWidth="1"/>
    <col min="16" max="16" width="15.68359375" style="14" customWidth="1"/>
    <col min="17" max="16384" width="9.15625" style="14"/>
  </cols>
  <sheetData>
    <row r="1" spans="1:16" ht="20.399999999999999" x14ac:dyDescent="0.75">
      <c r="A1" s="135" t="s">
        <v>32</v>
      </c>
      <c r="B1"/>
      <c r="C1" s="14"/>
      <c r="D1" s="365"/>
      <c r="E1" s="365"/>
      <c r="F1" s="268"/>
      <c r="G1" s="14"/>
      <c r="H1" s="14"/>
    </row>
    <row r="2" spans="1:16" x14ac:dyDescent="0.55000000000000004">
      <c r="A2" s="366" t="s">
        <v>33</v>
      </c>
      <c r="B2" s="366"/>
      <c r="C2" s="14"/>
      <c r="D2" s="14"/>
      <c r="F2" s="6"/>
      <c r="G2" s="14"/>
      <c r="H2" s="14"/>
    </row>
    <row r="3" spans="1:16" x14ac:dyDescent="0.55000000000000004">
      <c r="A3" s="135" t="s">
        <v>34</v>
      </c>
      <c r="B3"/>
      <c r="C3" s="14"/>
      <c r="D3" s="14"/>
      <c r="F3" s="6"/>
      <c r="G3" s="14"/>
      <c r="H3" s="14"/>
    </row>
    <row r="4" spans="1:16" x14ac:dyDescent="0.55000000000000004">
      <c r="A4" s="135"/>
      <c r="C4" s="14"/>
      <c r="D4" s="14"/>
      <c r="F4" s="6"/>
      <c r="G4" s="14"/>
      <c r="H4" s="14"/>
      <c r="I4" s="14"/>
      <c r="J4" s="14"/>
      <c r="K4" s="14"/>
      <c r="L4" s="14"/>
    </row>
    <row r="5" spans="1:16" x14ac:dyDescent="0.55000000000000004">
      <c r="A5" s="50"/>
      <c r="C5" s="14"/>
      <c r="D5" s="14"/>
      <c r="F5" s="6"/>
      <c r="G5" s="269"/>
      <c r="H5" s="270"/>
      <c r="I5" s="14"/>
      <c r="J5" s="14"/>
      <c r="K5" s="14"/>
      <c r="L5" s="14"/>
    </row>
    <row r="6" spans="1:16" x14ac:dyDescent="0.55000000000000004">
      <c r="A6" s="364" t="s">
        <v>79</v>
      </c>
      <c r="B6" s="364"/>
      <c r="C6" s="271" t="s">
        <v>71</v>
      </c>
      <c r="D6" s="14"/>
      <c r="F6" s="6"/>
      <c r="G6" s="269"/>
      <c r="H6" s="270"/>
      <c r="I6" s="14"/>
      <c r="J6" s="14"/>
      <c r="K6" s="14"/>
      <c r="L6" s="14"/>
    </row>
    <row r="7" spans="1:16" x14ac:dyDescent="0.55000000000000004">
      <c r="A7" s="364" t="s">
        <v>80</v>
      </c>
      <c r="B7" s="364"/>
      <c r="C7" s="272" t="s">
        <v>72</v>
      </c>
      <c r="D7" s="14"/>
      <c r="F7" s="6"/>
      <c r="G7" s="269"/>
      <c r="H7" s="270"/>
      <c r="I7" s="14"/>
      <c r="J7" s="14"/>
      <c r="K7" s="14"/>
      <c r="L7" s="14"/>
    </row>
    <row r="8" spans="1:16" x14ac:dyDescent="0.55000000000000004">
      <c r="A8" s="364" t="s">
        <v>81</v>
      </c>
      <c r="B8" s="364"/>
      <c r="C8" s="290">
        <f>'Factor Dev'!G16</f>
        <v>1</v>
      </c>
      <c r="D8" s="14"/>
      <c r="F8" s="6"/>
      <c r="G8" s="269"/>
      <c r="H8" s="270"/>
      <c r="I8" s="14"/>
      <c r="J8" s="14"/>
      <c r="K8" s="14"/>
      <c r="L8" s="14"/>
    </row>
    <row r="9" spans="1:16" x14ac:dyDescent="0.55000000000000004">
      <c r="A9" s="364" t="s">
        <v>82</v>
      </c>
      <c r="B9" s="364"/>
      <c r="C9" s="290">
        <f>'Factor Dev'!K16</f>
        <v>1</v>
      </c>
      <c r="D9" s="14"/>
      <c r="F9" s="6"/>
      <c r="G9" s="269"/>
      <c r="H9" s="270"/>
      <c r="I9" s="14"/>
      <c r="J9" s="14"/>
      <c r="K9" s="14"/>
      <c r="L9" s="14"/>
    </row>
    <row r="10" spans="1:16" x14ac:dyDescent="0.55000000000000004">
      <c r="A10" s="367" t="s">
        <v>83</v>
      </c>
      <c r="B10" s="367"/>
      <c r="C10" s="291"/>
      <c r="F10" s="6"/>
      <c r="G10" s="51"/>
      <c r="I10" s="273"/>
      <c r="J10" s="273"/>
      <c r="K10" s="13"/>
      <c r="M10" s="51"/>
      <c r="N10" s="51"/>
      <c r="O10" s="51"/>
    </row>
    <row r="11" spans="1:16" x14ac:dyDescent="0.55000000000000004">
      <c r="A11" s="274"/>
      <c r="B11" s="10"/>
      <c r="C11" s="11"/>
      <c r="D11" s="139"/>
      <c r="E11" s="12"/>
      <c r="F11" s="12"/>
      <c r="G11" s="12"/>
      <c r="H11" s="24"/>
      <c r="I11" s="24"/>
      <c r="J11" s="24"/>
      <c r="K11" s="14"/>
      <c r="L11" s="14"/>
    </row>
    <row r="12" spans="1:16" ht="14.7" thickBot="1" x14ac:dyDescent="0.6">
      <c r="A12" s="275"/>
      <c r="C12" s="21"/>
      <c r="F12" s="6"/>
      <c r="G12" s="51"/>
      <c r="I12" s="273"/>
      <c r="J12" s="273"/>
      <c r="K12" s="13"/>
      <c r="M12" s="51"/>
      <c r="N12" s="51"/>
      <c r="O12" s="51"/>
    </row>
    <row r="13" spans="1:16" ht="14.5" customHeight="1" x14ac:dyDescent="0.55000000000000004">
      <c r="A13" s="368" t="s">
        <v>84</v>
      </c>
      <c r="B13" s="369"/>
      <c r="C13" s="369"/>
      <c r="D13" s="369"/>
      <c r="E13" s="369"/>
      <c r="F13" s="369"/>
      <c r="G13" s="369"/>
      <c r="H13" s="369"/>
      <c r="I13" s="369"/>
      <c r="J13" s="369"/>
      <c r="K13" s="369"/>
      <c r="L13" s="369"/>
      <c r="M13" s="369"/>
      <c r="N13" s="369"/>
      <c r="O13" s="370"/>
    </row>
    <row r="14" spans="1:16" ht="14.5" customHeight="1" thickBot="1" x14ac:dyDescent="0.6">
      <c r="A14" s="371"/>
      <c r="B14" s="372"/>
      <c r="C14" s="372"/>
      <c r="D14" s="372"/>
      <c r="E14" s="372"/>
      <c r="F14" s="372"/>
      <c r="G14" s="372"/>
      <c r="H14" s="372"/>
      <c r="I14" s="372"/>
      <c r="J14" s="372"/>
      <c r="K14" s="372"/>
      <c r="L14" s="372"/>
      <c r="M14" s="372"/>
      <c r="N14" s="372"/>
      <c r="O14" s="373"/>
    </row>
    <row r="15" spans="1:16" ht="14.5" customHeight="1" x14ac:dyDescent="0.55000000000000004">
      <c r="A15" s="167"/>
      <c r="B15" s="167"/>
      <c r="C15" s="167"/>
      <c r="D15" s="167"/>
      <c r="E15" s="167"/>
      <c r="F15" s="167"/>
      <c r="G15" s="167"/>
      <c r="H15" s="167"/>
      <c r="I15" s="167"/>
      <c r="J15" s="167"/>
      <c r="K15" s="167"/>
      <c r="L15" s="167"/>
      <c r="M15" s="167"/>
      <c r="N15" s="167"/>
      <c r="O15" s="167"/>
      <c r="P15" s="167"/>
    </row>
    <row r="16" spans="1:16" ht="15.6" x14ac:dyDescent="0.6">
      <c r="A16" s="14"/>
      <c r="B16" s="14"/>
      <c r="C16"/>
      <c r="D16" s="168"/>
      <c r="E16" s="168"/>
      <c r="F16" s="168"/>
      <c r="G16" s="168"/>
      <c r="H16" s="169"/>
      <c r="I16" s="169"/>
      <c r="J16" s="169"/>
      <c r="K16" s="14"/>
      <c r="L16" s="374" t="s">
        <v>85</v>
      </c>
      <c r="M16" s="375"/>
      <c r="N16" s="376"/>
      <c r="P16" s="170"/>
    </row>
    <row r="17" spans="1:15" s="173" customFormat="1" ht="285.75" customHeight="1" x14ac:dyDescent="0.55000000000000004">
      <c r="A17" s="171" t="s">
        <v>86</v>
      </c>
      <c r="B17" s="171" t="s">
        <v>87</v>
      </c>
      <c r="C17" s="292" t="s">
        <v>88</v>
      </c>
      <c r="D17" s="172" t="str">
        <f>CONCATENATE("January ",FilingYear," Tariffed Rate (Current Rate)")</f>
        <v>January 2024 Tariffed Rate (Current Rate)</v>
      </c>
      <c r="E17" s="172" t="str">
        <f>CONCATENATE("Adjusted January ",FilingYear," Tariffed Rate (Adjusted Current Rate)")</f>
        <v>Adjusted January 2024 Tariffed Rate (Adjusted Current Rate)</v>
      </c>
      <c r="F17" s="172" t="s">
        <v>89</v>
      </c>
      <c r="G17" s="172" t="s">
        <v>90</v>
      </c>
      <c r="H17" s="172" t="s">
        <v>91</v>
      </c>
      <c r="I17" s="293" t="str">
        <f>CONCATENATE("Average Monthly Demand Over Base Period",CHAR(10),"(Calendar Year ",DemandYear,")")</f>
        <v>Average Monthly Demand Over Base Period
(Calendar Year 2023)</v>
      </c>
      <c r="J17" s="29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K17" s="29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L17" s="294" t="s">
        <v>92</v>
      </c>
      <c r="M17" s="294" t="s">
        <v>93</v>
      </c>
      <c r="N17" s="172" t="s">
        <v>94</v>
      </c>
      <c r="O17" s="170"/>
    </row>
    <row r="18" spans="1:15" s="27" customFormat="1" x14ac:dyDescent="0.55000000000000004">
      <c r="A18" s="295"/>
      <c r="B18" s="296"/>
      <c r="C18" s="171" t="str">
        <f>"Col "&amp;COLUMN(C19)+57</f>
        <v>Col 60</v>
      </c>
      <c r="D18" s="171" t="str">
        <f t="shared" ref="D18:N18" si="0">"Col "&amp;COLUMN(D19)+57</f>
        <v>Col 61</v>
      </c>
      <c r="E18" s="171" t="str">
        <f t="shared" si="0"/>
        <v>Col 62</v>
      </c>
      <c r="F18" s="171" t="str">
        <f t="shared" si="0"/>
        <v>Col 63</v>
      </c>
      <c r="G18" s="171" t="str">
        <f t="shared" si="0"/>
        <v>Col 64</v>
      </c>
      <c r="H18" s="171" t="str">
        <f t="shared" si="0"/>
        <v>Col 65</v>
      </c>
      <c r="I18" s="171" t="str">
        <f t="shared" si="0"/>
        <v>Col 66</v>
      </c>
      <c r="J18" s="171" t="str">
        <f t="shared" si="0"/>
        <v>Col 67</v>
      </c>
      <c r="K18" s="171" t="str">
        <f t="shared" si="0"/>
        <v>Col 68</v>
      </c>
      <c r="L18" s="171" t="str">
        <f t="shared" si="0"/>
        <v>Col 69</v>
      </c>
      <c r="M18" s="171" t="str">
        <f t="shared" si="0"/>
        <v>Col 70</v>
      </c>
      <c r="N18" s="171" t="str">
        <f t="shared" si="0"/>
        <v>Col 71</v>
      </c>
      <c r="O18" s="170"/>
    </row>
    <row r="19" spans="1:15" s="27" customFormat="1" ht="169.5" customHeight="1" x14ac:dyDescent="0.55000000000000004">
      <c r="A19" s="171" t="s">
        <v>67</v>
      </c>
      <c r="B19" s="171" t="s">
        <v>67</v>
      </c>
      <c r="C19" s="15" t="s">
        <v>67</v>
      </c>
      <c r="D19" s="171" t="s">
        <v>67</v>
      </c>
      <c r="E19" s="171" t="str">
        <f>CONCATENATE(D18," X ","Category Relationship Unfreeze Factor X Net Contributor or Net Recipient Factor")</f>
        <v>Col 61 X Category Relationship Unfreeze Factor X Net Contributor or Net Recipient Factor</v>
      </c>
      <c r="F19" s="297" t="s">
        <v>67</v>
      </c>
      <c r="G19" s="297" t="str">
        <f>CONCATENATE("(",F18," / ",E18,")",CHAR(10)," - 1")</f>
        <v>(Col 63 / Col 62)
 - 1</v>
      </c>
      <c r="H19" s="297" t="str">
        <f>CONCATENATE("(",F18," / ",D18,")",CHAR(10)," - 1")</f>
        <v>(Col 63 / Col 61)
 - 1</v>
      </c>
      <c r="I19" s="15" t="s">
        <v>67</v>
      </c>
      <c r="J19" s="15" t="s">
        <v>67</v>
      </c>
      <c r="K19" s="15" t="s">
        <v>67</v>
      </c>
      <c r="L19" s="297" t="str">
        <f>"(("&amp;E18&amp;" x "&amp;I18&amp;") + ("&amp;E18&amp;" x "&amp;J18&amp;" x Appropriate Discount) + ("&amp;E18&amp;" x "&amp;K18&amp;" x Appropriate Discount))"</f>
        <v>((Col 62 x Col 66) + (Col 62 x Col 67 x Appropriate Discount) + (Col 62 x Col 68 x Appropriate Discount))</v>
      </c>
      <c r="M19" s="297" t="str">
        <f>"(("&amp;F18&amp;" x "&amp;I18&amp;") + ("&amp;F18&amp;" x "&amp;J18&amp;" x Appropriate Discount) + ("&amp;F18&amp;" x "&amp;K18&amp;" x Appropriate Discount))"</f>
        <v>((Col 63 x Col 66) + (Col 63 x Col 67 x Appropriate Discount) + (Col 63 x Col 68 x Appropriate Discount))</v>
      </c>
      <c r="N19" s="297" t="str">
        <f>L18&amp;" - "&amp;M18</f>
        <v>Col 69 - Col 70</v>
      </c>
      <c r="O19" s="170"/>
    </row>
    <row r="20" spans="1:15" s="27" customFormat="1" x14ac:dyDescent="0.55000000000000004">
      <c r="A20" s="174"/>
      <c r="B20" s="175" t="s">
        <v>95</v>
      </c>
      <c r="C20" s="175" t="s">
        <v>96</v>
      </c>
      <c r="D20" s="176"/>
      <c r="E20" s="176"/>
      <c r="F20" s="176"/>
      <c r="G20" s="176"/>
      <c r="H20" s="176"/>
      <c r="I20" s="177"/>
      <c r="J20" s="177"/>
      <c r="K20" s="177"/>
      <c r="L20" s="178"/>
      <c r="M20" s="178"/>
      <c r="N20" s="178"/>
      <c r="O20" s="170"/>
    </row>
    <row r="21" spans="1:15" s="27" customFormat="1" x14ac:dyDescent="0.55000000000000004">
      <c r="A21" s="179" t="s">
        <v>97</v>
      </c>
      <c r="B21" s="179" t="s">
        <v>98</v>
      </c>
      <c r="C21" s="180" t="s">
        <v>96</v>
      </c>
      <c r="D21" s="181"/>
      <c r="E21" s="181">
        <f>ROUND($D21*$C$8*$C$9,2)</f>
        <v>0</v>
      </c>
      <c r="F21" s="181"/>
      <c r="G21" s="16">
        <f>IFERROR(ROUND(($F21/$E21)-1,3),0)</f>
        <v>0</v>
      </c>
      <c r="H21" s="16">
        <f>IFERROR(ROUND(($F21/$D21)-1,3),0)</f>
        <v>0</v>
      </c>
      <c r="I21" s="182"/>
      <c r="J21" s="182"/>
      <c r="K21" s="182"/>
      <c r="L21" s="181">
        <f>IFERROR(ROUND((($E21*$I21)+($E21*$J21*0.8)+($E21*$K21*0.9)),2),0)</f>
        <v>0</v>
      </c>
      <c r="M21" s="181">
        <f>IFERROR(ROUND((($F21*$I21)+($F21*$J21*0.8)+($F21*$K21*0.9)),2),0)</f>
        <v>0</v>
      </c>
      <c r="N21" s="181">
        <f>IFERROR(ROUND($L21-$M21,2),0)</f>
        <v>0</v>
      </c>
      <c r="O21" s="183"/>
    </row>
    <row r="22" spans="1:15" s="27" customFormat="1" x14ac:dyDescent="0.55000000000000004">
      <c r="A22" s="179"/>
      <c r="B22" s="179"/>
      <c r="C22" s="180" t="s">
        <v>96</v>
      </c>
      <c r="D22" s="181"/>
      <c r="E22" s="181">
        <f t="shared" ref="E22:E25" si="1">ROUND($D22*$C$8*$C$9,2)</f>
        <v>0</v>
      </c>
      <c r="F22" s="181"/>
      <c r="G22" s="16">
        <f t="shared" ref="G22:G25" si="2">IFERROR(ROUND(($F22/$E22)-1,3),0)</f>
        <v>0</v>
      </c>
      <c r="H22" s="16">
        <f t="shared" ref="H22:H25" si="3">IFERROR(ROUND(($F22/$D22)-1,3),0)</f>
        <v>0</v>
      </c>
      <c r="I22" s="182"/>
      <c r="J22" s="182"/>
      <c r="K22" s="182"/>
      <c r="L22" s="181">
        <f t="shared" ref="L22:L25" si="4">IFERROR(ROUND((($E22*$I22)+($E22*$J22*0.8)+($E22*$K22*0.9)),2),0)</f>
        <v>0</v>
      </c>
      <c r="M22" s="181">
        <f t="shared" ref="M22:M25" si="5">IFERROR(ROUND((($F22*$I22)+($F22*$J22*0.8)+($F22*$K22*0.9)),2),0)</f>
        <v>0</v>
      </c>
      <c r="N22" s="181">
        <f t="shared" ref="N22:N25" si="6">IFERROR(ROUND($L22-$M22,2),0)</f>
        <v>0</v>
      </c>
      <c r="O22" s="183"/>
    </row>
    <row r="23" spans="1:15" s="27" customFormat="1" x14ac:dyDescent="0.55000000000000004">
      <c r="A23" s="179"/>
      <c r="B23" s="179"/>
      <c r="C23" s="180" t="s">
        <v>96</v>
      </c>
      <c r="D23" s="181"/>
      <c r="E23" s="181">
        <f t="shared" si="1"/>
        <v>0</v>
      </c>
      <c r="F23" s="181"/>
      <c r="G23" s="16">
        <f t="shared" si="2"/>
        <v>0</v>
      </c>
      <c r="H23" s="16">
        <f t="shared" si="3"/>
        <v>0</v>
      </c>
      <c r="I23" s="182"/>
      <c r="J23" s="182"/>
      <c r="K23" s="182"/>
      <c r="L23" s="181">
        <f t="shared" si="4"/>
        <v>0</v>
      </c>
      <c r="M23" s="181">
        <f t="shared" si="5"/>
        <v>0</v>
      </c>
      <c r="N23" s="181">
        <f t="shared" si="6"/>
        <v>0</v>
      </c>
      <c r="O23" s="183"/>
    </row>
    <row r="24" spans="1:15" s="27" customFormat="1" x14ac:dyDescent="0.55000000000000004">
      <c r="A24" s="179"/>
      <c r="B24" s="179"/>
      <c r="C24" s="180" t="s">
        <v>96</v>
      </c>
      <c r="D24" s="181"/>
      <c r="E24" s="181">
        <f t="shared" si="1"/>
        <v>0</v>
      </c>
      <c r="F24" s="181"/>
      <c r="G24" s="16">
        <f t="shared" si="2"/>
        <v>0</v>
      </c>
      <c r="H24" s="16">
        <f t="shared" si="3"/>
        <v>0</v>
      </c>
      <c r="I24" s="182"/>
      <c r="J24" s="182"/>
      <c r="K24" s="182"/>
      <c r="L24" s="181">
        <f t="shared" si="4"/>
        <v>0</v>
      </c>
      <c r="M24" s="181">
        <f t="shared" si="5"/>
        <v>0</v>
      </c>
      <c r="N24" s="181">
        <f t="shared" si="6"/>
        <v>0</v>
      </c>
      <c r="O24" s="183"/>
    </row>
    <row r="25" spans="1:15" s="27" customFormat="1" x14ac:dyDescent="0.55000000000000004">
      <c r="A25" s="179"/>
      <c r="B25" s="179"/>
      <c r="C25" s="180" t="s">
        <v>96</v>
      </c>
      <c r="D25" s="181"/>
      <c r="E25" s="181">
        <f t="shared" si="1"/>
        <v>0</v>
      </c>
      <c r="F25" s="181"/>
      <c r="G25" s="16">
        <f t="shared" si="2"/>
        <v>0</v>
      </c>
      <c r="H25" s="16">
        <f t="shared" si="3"/>
        <v>0</v>
      </c>
      <c r="I25" s="182"/>
      <c r="J25" s="182"/>
      <c r="K25" s="182"/>
      <c r="L25" s="181">
        <f t="shared" si="4"/>
        <v>0</v>
      </c>
      <c r="M25" s="181">
        <f t="shared" si="5"/>
        <v>0</v>
      </c>
      <c r="N25" s="181">
        <f t="shared" si="6"/>
        <v>0</v>
      </c>
      <c r="O25" s="183"/>
    </row>
    <row r="26" spans="1:15" s="27" customFormat="1" x14ac:dyDescent="0.55000000000000004">
      <c r="A26" s="174"/>
      <c r="B26" s="175" t="s">
        <v>99</v>
      </c>
      <c r="C26" s="175" t="s">
        <v>100</v>
      </c>
      <c r="D26" s="176"/>
      <c r="E26" s="176"/>
      <c r="F26" s="176"/>
      <c r="G26" s="176"/>
      <c r="H26" s="176"/>
      <c r="I26" s="177"/>
      <c r="J26" s="177"/>
      <c r="K26" s="177"/>
      <c r="L26" s="178"/>
      <c r="M26" s="178"/>
      <c r="N26" s="178"/>
      <c r="O26" s="170"/>
    </row>
    <row r="27" spans="1:15" s="27" customFormat="1" x14ac:dyDescent="0.55000000000000004">
      <c r="A27" s="179" t="s">
        <v>97</v>
      </c>
      <c r="B27" s="184" t="s">
        <v>101</v>
      </c>
      <c r="C27" s="180" t="s">
        <v>100</v>
      </c>
      <c r="D27" s="181"/>
      <c r="E27" s="181">
        <f>ROUND($D27*$C$8*$C$9,2)</f>
        <v>0</v>
      </c>
      <c r="F27" s="181"/>
      <c r="G27" s="16">
        <f>IFERROR(ROUND(($F27/$E27)-1,3),0)</f>
        <v>0</v>
      </c>
      <c r="H27" s="16">
        <f>IFERROR(ROUND(($F27/$D27)-1,3),0)</f>
        <v>0</v>
      </c>
      <c r="I27" s="182"/>
      <c r="J27" s="182"/>
      <c r="K27" s="182"/>
      <c r="L27" s="181">
        <f>IFERROR(ROUND((($E27*$I27)+($E27*$J27*0.8)+($E27*$K27*0.9)),2),0)</f>
        <v>0</v>
      </c>
      <c r="M27" s="181">
        <f>IFERROR(ROUND((($F27*$I27)+($F27*$J27*0.8)+($F27*$K27*0.9)),2),0)</f>
        <v>0</v>
      </c>
      <c r="N27" s="181">
        <f>IFERROR(ROUND($L27-$M27,2),0)</f>
        <v>0</v>
      </c>
      <c r="O27" s="183"/>
    </row>
    <row r="28" spans="1:15" s="27" customFormat="1" x14ac:dyDescent="0.55000000000000004">
      <c r="A28" s="179"/>
      <c r="B28" s="184"/>
      <c r="C28" s="180" t="s">
        <v>100</v>
      </c>
      <c r="D28" s="181"/>
      <c r="E28" s="181">
        <f t="shared" ref="E28:E31" si="7">ROUND($D28*$C$8*$C$9,2)</f>
        <v>0</v>
      </c>
      <c r="F28" s="181"/>
      <c r="G28" s="16">
        <f t="shared" ref="G28:G31" si="8">IFERROR(ROUND(($F28/$E28)-1,3),0)</f>
        <v>0</v>
      </c>
      <c r="H28" s="16">
        <f t="shared" ref="H28:H31" si="9">IFERROR(ROUND(($F28/$D28)-1,3),0)</f>
        <v>0</v>
      </c>
      <c r="I28" s="182"/>
      <c r="J28" s="182"/>
      <c r="K28" s="182"/>
      <c r="L28" s="181">
        <f t="shared" ref="L28:L31" si="10">IFERROR(ROUND((($E28*$I28)+($E28*$J28*0.8)+($E28*$K28*0.9)),2),0)</f>
        <v>0</v>
      </c>
      <c r="M28" s="181">
        <f t="shared" ref="M28:M31" si="11">IFERROR(ROUND((($F28*$I28)+($F28*$J28*0.8)+($F28*$K28*0.9)),2),0)</f>
        <v>0</v>
      </c>
      <c r="N28" s="181">
        <f t="shared" ref="N28:N31" si="12">IFERROR(ROUND($L28-$M28,2),0)</f>
        <v>0</v>
      </c>
      <c r="O28" s="183"/>
    </row>
    <row r="29" spans="1:15" s="27" customFormat="1" x14ac:dyDescent="0.55000000000000004">
      <c r="A29" s="179"/>
      <c r="B29" s="184"/>
      <c r="C29" s="180" t="s">
        <v>100</v>
      </c>
      <c r="D29" s="181"/>
      <c r="E29" s="181">
        <f t="shared" si="7"/>
        <v>0</v>
      </c>
      <c r="F29" s="181"/>
      <c r="G29" s="16">
        <f t="shared" si="8"/>
        <v>0</v>
      </c>
      <c r="H29" s="16">
        <f t="shared" si="9"/>
        <v>0</v>
      </c>
      <c r="I29" s="182"/>
      <c r="J29" s="182"/>
      <c r="K29" s="182"/>
      <c r="L29" s="181">
        <f t="shared" si="10"/>
        <v>0</v>
      </c>
      <c r="M29" s="181">
        <f t="shared" si="11"/>
        <v>0</v>
      </c>
      <c r="N29" s="181">
        <f t="shared" si="12"/>
        <v>0</v>
      </c>
      <c r="O29" s="183"/>
    </row>
    <row r="30" spans="1:15" s="27" customFormat="1" x14ac:dyDescent="0.55000000000000004">
      <c r="A30" s="179"/>
      <c r="B30" s="184"/>
      <c r="C30" s="180" t="s">
        <v>100</v>
      </c>
      <c r="D30" s="181"/>
      <c r="E30" s="181">
        <f t="shared" si="7"/>
        <v>0</v>
      </c>
      <c r="F30" s="181"/>
      <c r="G30" s="16">
        <f t="shared" si="8"/>
        <v>0</v>
      </c>
      <c r="H30" s="16">
        <f t="shared" si="9"/>
        <v>0</v>
      </c>
      <c r="I30" s="182"/>
      <c r="J30" s="182"/>
      <c r="K30" s="182"/>
      <c r="L30" s="181">
        <f t="shared" si="10"/>
        <v>0</v>
      </c>
      <c r="M30" s="181">
        <f t="shared" si="11"/>
        <v>0</v>
      </c>
      <c r="N30" s="181">
        <f t="shared" si="12"/>
        <v>0</v>
      </c>
      <c r="O30" s="183"/>
    </row>
    <row r="31" spans="1:15" s="27" customFormat="1" x14ac:dyDescent="0.55000000000000004">
      <c r="A31" s="179"/>
      <c r="B31" s="184"/>
      <c r="C31" s="180" t="s">
        <v>100</v>
      </c>
      <c r="D31" s="181"/>
      <c r="E31" s="181">
        <f t="shared" si="7"/>
        <v>0</v>
      </c>
      <c r="F31" s="181"/>
      <c r="G31" s="16">
        <f t="shared" si="8"/>
        <v>0</v>
      </c>
      <c r="H31" s="16">
        <f t="shared" si="9"/>
        <v>0</v>
      </c>
      <c r="I31" s="182"/>
      <c r="J31" s="182"/>
      <c r="K31" s="182"/>
      <c r="L31" s="181">
        <f t="shared" si="10"/>
        <v>0</v>
      </c>
      <c r="M31" s="181">
        <f t="shared" si="11"/>
        <v>0</v>
      </c>
      <c r="N31" s="181">
        <f t="shared" si="12"/>
        <v>0</v>
      </c>
      <c r="O31" s="183"/>
    </row>
    <row r="32" spans="1:15" s="27" customFormat="1" x14ac:dyDescent="0.55000000000000004">
      <c r="A32" s="174"/>
      <c r="B32" s="175" t="s">
        <v>102</v>
      </c>
      <c r="C32" s="175" t="s">
        <v>103</v>
      </c>
      <c r="D32" s="176"/>
      <c r="E32" s="176"/>
      <c r="F32" s="176"/>
      <c r="G32" s="176"/>
      <c r="H32" s="176"/>
      <c r="I32" s="177"/>
      <c r="J32" s="177"/>
      <c r="K32" s="177"/>
      <c r="L32" s="178"/>
      <c r="M32" s="178"/>
      <c r="N32" s="178"/>
      <c r="O32" s="170"/>
    </row>
    <row r="33" spans="1:15" s="27" customFormat="1" x14ac:dyDescent="0.55000000000000004">
      <c r="A33" s="179" t="s">
        <v>97</v>
      </c>
      <c r="B33" s="179" t="s">
        <v>104</v>
      </c>
      <c r="C33" s="180" t="s">
        <v>103</v>
      </c>
      <c r="D33" s="181"/>
      <c r="E33" s="181">
        <f>ROUND($D33*$C$8*$C$9,2)</f>
        <v>0</v>
      </c>
      <c r="F33" s="181"/>
      <c r="G33" s="16">
        <f>IFERROR(ROUND(($F33/$E33)-1,3),0)</f>
        <v>0</v>
      </c>
      <c r="H33" s="16">
        <f>IFERROR(ROUND(($F33/$D33)-1,3),0)</f>
        <v>0</v>
      </c>
      <c r="I33" s="182"/>
      <c r="J33" s="182"/>
      <c r="K33" s="182"/>
      <c r="L33" s="181">
        <f>IFERROR(ROUND((($E33*$I33)+($E33*$J33*0.8)+($E33*$K33*0.9)),2),0)</f>
        <v>0</v>
      </c>
      <c r="M33" s="181">
        <f>IFERROR(ROUND((($F33*$I33)+($F33*$J33*0.8)+($F33*$K33*0.9)),2),0)</f>
        <v>0</v>
      </c>
      <c r="N33" s="181">
        <f>IFERROR(ROUND($L33-$M33,2),0)</f>
        <v>0</v>
      </c>
      <c r="O33" s="183"/>
    </row>
    <row r="34" spans="1:15" s="27" customFormat="1" x14ac:dyDescent="0.55000000000000004">
      <c r="A34" s="179"/>
      <c r="B34" s="179"/>
      <c r="C34" s="180" t="s">
        <v>103</v>
      </c>
      <c r="D34" s="181"/>
      <c r="E34" s="181">
        <f t="shared" ref="E34:E37" si="13">ROUND($D34*$C$8*$C$9,2)</f>
        <v>0</v>
      </c>
      <c r="F34" s="181"/>
      <c r="G34" s="16">
        <f t="shared" ref="G34:G37" si="14">IFERROR(ROUND(($F34/$E34)-1,3),0)</f>
        <v>0</v>
      </c>
      <c r="H34" s="16">
        <f t="shared" ref="H34:H37" si="15">IFERROR(ROUND(($F34/$D34)-1,3),0)</f>
        <v>0</v>
      </c>
      <c r="I34" s="182"/>
      <c r="J34" s="182"/>
      <c r="K34" s="182"/>
      <c r="L34" s="181">
        <f t="shared" ref="L34:L37" si="16">IFERROR(ROUND((($E34*$I34)+($E34*$J34*0.8)+($E34*$K34*0.9)),2),0)</f>
        <v>0</v>
      </c>
      <c r="M34" s="181">
        <f t="shared" ref="M34:M37" si="17">IFERROR(ROUND((($F34*$I34)+($F34*$J34*0.8)+($F34*$K34*0.9)),2),0)</f>
        <v>0</v>
      </c>
      <c r="N34" s="181">
        <f t="shared" ref="N34:N37" si="18">IFERROR(ROUND($L34-$M34,2),0)</f>
        <v>0</v>
      </c>
      <c r="O34" s="183"/>
    </row>
    <row r="35" spans="1:15" s="27" customFormat="1" x14ac:dyDescent="0.55000000000000004">
      <c r="A35" s="179"/>
      <c r="B35" s="179"/>
      <c r="C35" s="180" t="s">
        <v>103</v>
      </c>
      <c r="D35" s="181"/>
      <c r="E35" s="181">
        <f t="shared" si="13"/>
        <v>0</v>
      </c>
      <c r="F35" s="181"/>
      <c r="G35" s="16">
        <f t="shared" si="14"/>
        <v>0</v>
      </c>
      <c r="H35" s="16">
        <f t="shared" si="15"/>
        <v>0</v>
      </c>
      <c r="I35" s="182"/>
      <c r="J35" s="182"/>
      <c r="K35" s="182"/>
      <c r="L35" s="181">
        <f t="shared" si="16"/>
        <v>0</v>
      </c>
      <c r="M35" s="181">
        <f t="shared" si="17"/>
        <v>0</v>
      </c>
      <c r="N35" s="181">
        <f t="shared" si="18"/>
        <v>0</v>
      </c>
      <c r="O35" s="183"/>
    </row>
    <row r="36" spans="1:15" s="27" customFormat="1" x14ac:dyDescent="0.55000000000000004">
      <c r="A36" s="179"/>
      <c r="B36" s="179"/>
      <c r="C36" s="180" t="s">
        <v>103</v>
      </c>
      <c r="D36" s="181"/>
      <c r="E36" s="181">
        <f t="shared" si="13"/>
        <v>0</v>
      </c>
      <c r="F36" s="181"/>
      <c r="G36" s="16">
        <f t="shared" si="14"/>
        <v>0</v>
      </c>
      <c r="H36" s="16">
        <f t="shared" si="15"/>
        <v>0</v>
      </c>
      <c r="I36" s="182"/>
      <c r="J36" s="182"/>
      <c r="K36" s="182"/>
      <c r="L36" s="181">
        <f t="shared" si="16"/>
        <v>0</v>
      </c>
      <c r="M36" s="181">
        <f t="shared" si="17"/>
        <v>0</v>
      </c>
      <c r="N36" s="181">
        <f t="shared" si="18"/>
        <v>0</v>
      </c>
      <c r="O36" s="183"/>
    </row>
    <row r="37" spans="1:15" s="27" customFormat="1" x14ac:dyDescent="0.55000000000000004">
      <c r="A37" s="179"/>
      <c r="B37" s="179"/>
      <c r="C37" s="180" t="s">
        <v>103</v>
      </c>
      <c r="D37" s="181"/>
      <c r="E37" s="181">
        <f t="shared" si="13"/>
        <v>0</v>
      </c>
      <c r="F37" s="181"/>
      <c r="G37" s="16">
        <f t="shared" si="14"/>
        <v>0</v>
      </c>
      <c r="H37" s="16">
        <f t="shared" si="15"/>
        <v>0</v>
      </c>
      <c r="I37" s="182"/>
      <c r="J37" s="182"/>
      <c r="K37" s="182"/>
      <c r="L37" s="181">
        <f t="shared" si="16"/>
        <v>0</v>
      </c>
      <c r="M37" s="181">
        <f t="shared" si="17"/>
        <v>0</v>
      </c>
      <c r="N37" s="181">
        <f t="shared" si="18"/>
        <v>0</v>
      </c>
      <c r="O37" s="183"/>
    </row>
    <row r="38" spans="1:15" s="27" customFormat="1" x14ac:dyDescent="0.55000000000000004">
      <c r="A38" s="174"/>
      <c r="B38" s="175" t="s">
        <v>105</v>
      </c>
      <c r="C38" s="175" t="s">
        <v>106</v>
      </c>
      <c r="D38" s="176"/>
      <c r="E38" s="176"/>
      <c r="F38" s="176"/>
      <c r="G38" s="176"/>
      <c r="H38" s="176"/>
      <c r="I38" s="177"/>
      <c r="J38" s="177"/>
      <c r="K38" s="177"/>
      <c r="L38" s="178"/>
      <c r="M38" s="178"/>
      <c r="N38" s="178"/>
      <c r="O38" s="170"/>
    </row>
    <row r="39" spans="1:15" s="27" customFormat="1" x14ac:dyDescent="0.55000000000000004">
      <c r="A39" s="179" t="s">
        <v>97</v>
      </c>
      <c r="B39" s="179" t="s">
        <v>107</v>
      </c>
      <c r="C39" s="180" t="s">
        <v>106</v>
      </c>
      <c r="D39" s="181"/>
      <c r="E39" s="181">
        <f>ROUND($D39*$C$8*$C$9,2)</f>
        <v>0</v>
      </c>
      <c r="F39" s="181"/>
      <c r="G39" s="16">
        <f>IFERROR(ROUND(($F39/$E39)-1,3),0)</f>
        <v>0</v>
      </c>
      <c r="H39" s="16">
        <f>IFERROR(ROUND(($F39/$D39)-1,3),0)</f>
        <v>0</v>
      </c>
      <c r="I39" s="182"/>
      <c r="J39" s="182"/>
      <c r="K39" s="182"/>
      <c r="L39" s="181">
        <f>IFERROR(ROUND((($E39*$I39)+($E39*$J39*0.8)+($E39*$K39*0.9)),2),0)</f>
        <v>0</v>
      </c>
      <c r="M39" s="181">
        <f>IFERROR(ROUND((($F39*$I39)+($F39*$J39*0.8)+($F39*$K39*0.9)),2),0)</f>
        <v>0</v>
      </c>
      <c r="N39" s="181">
        <f>IFERROR(ROUND($L39-$M39,2),0)</f>
        <v>0</v>
      </c>
      <c r="O39" s="183"/>
    </row>
    <row r="40" spans="1:15" s="27" customFormat="1" x14ac:dyDescent="0.55000000000000004">
      <c r="A40" s="179"/>
      <c r="B40" s="179"/>
      <c r="C40" s="180" t="s">
        <v>106</v>
      </c>
      <c r="D40" s="181"/>
      <c r="E40" s="181">
        <f t="shared" ref="E40:E43" si="19">ROUND($D40*$C$8*$C$9,2)</f>
        <v>0</v>
      </c>
      <c r="F40" s="181"/>
      <c r="G40" s="16">
        <f t="shared" ref="G40:G43" si="20">IFERROR(ROUND(($F40/$E40)-1,3),0)</f>
        <v>0</v>
      </c>
      <c r="H40" s="16">
        <f t="shared" ref="H40:H43" si="21">IFERROR(ROUND(($F40/$D40)-1,3),0)</f>
        <v>0</v>
      </c>
      <c r="I40" s="182"/>
      <c r="J40" s="182"/>
      <c r="K40" s="182"/>
      <c r="L40" s="181">
        <f t="shared" ref="L40:L43" si="22">IFERROR(ROUND((($E40*$I40)+($E40*$J40*0.8)+($E40*$K40*0.9)),2),0)</f>
        <v>0</v>
      </c>
      <c r="M40" s="181">
        <f t="shared" ref="M40:M43" si="23">IFERROR(ROUND((($F40*$I40)+($F40*$J40*0.8)+($F40*$K40*0.9)),2),0)</f>
        <v>0</v>
      </c>
      <c r="N40" s="181">
        <f t="shared" ref="N40:N43" si="24">IFERROR(ROUND($L40-$M40,2),0)</f>
        <v>0</v>
      </c>
      <c r="O40" s="183"/>
    </row>
    <row r="41" spans="1:15" s="27" customFormat="1" x14ac:dyDescent="0.55000000000000004">
      <c r="A41" s="179"/>
      <c r="B41" s="179"/>
      <c r="C41" s="180" t="s">
        <v>106</v>
      </c>
      <c r="D41" s="181"/>
      <c r="E41" s="181">
        <f t="shared" si="19"/>
        <v>0</v>
      </c>
      <c r="F41" s="181"/>
      <c r="G41" s="16">
        <f t="shared" si="20"/>
        <v>0</v>
      </c>
      <c r="H41" s="16">
        <f t="shared" si="21"/>
        <v>0</v>
      </c>
      <c r="I41" s="182"/>
      <c r="J41" s="182"/>
      <c r="K41" s="182"/>
      <c r="L41" s="181">
        <f t="shared" si="22"/>
        <v>0</v>
      </c>
      <c r="M41" s="181">
        <f t="shared" si="23"/>
        <v>0</v>
      </c>
      <c r="N41" s="181">
        <f t="shared" si="24"/>
        <v>0</v>
      </c>
      <c r="O41" s="183"/>
    </row>
    <row r="42" spans="1:15" s="27" customFormat="1" x14ac:dyDescent="0.55000000000000004">
      <c r="A42" s="179"/>
      <c r="B42" s="179"/>
      <c r="C42" s="180" t="s">
        <v>106</v>
      </c>
      <c r="D42" s="181"/>
      <c r="E42" s="181">
        <f t="shared" si="19"/>
        <v>0</v>
      </c>
      <c r="F42" s="181"/>
      <c r="G42" s="16">
        <f t="shared" si="20"/>
        <v>0</v>
      </c>
      <c r="H42" s="16">
        <f t="shared" si="21"/>
        <v>0</v>
      </c>
      <c r="I42" s="182"/>
      <c r="J42" s="182"/>
      <c r="K42" s="182"/>
      <c r="L42" s="181">
        <f t="shared" si="22"/>
        <v>0</v>
      </c>
      <c r="M42" s="181">
        <f t="shared" si="23"/>
        <v>0</v>
      </c>
      <c r="N42" s="181">
        <f t="shared" si="24"/>
        <v>0</v>
      </c>
      <c r="O42" s="183"/>
    </row>
    <row r="43" spans="1:15" s="27" customFormat="1" x14ac:dyDescent="0.55000000000000004">
      <c r="A43" s="179"/>
      <c r="B43" s="179"/>
      <c r="C43" s="180" t="s">
        <v>106</v>
      </c>
      <c r="D43" s="181"/>
      <c r="E43" s="181">
        <f t="shared" si="19"/>
        <v>0</v>
      </c>
      <c r="F43" s="181"/>
      <c r="G43" s="16">
        <f t="shared" si="20"/>
        <v>0</v>
      </c>
      <c r="H43" s="16">
        <f t="shared" si="21"/>
        <v>0</v>
      </c>
      <c r="I43" s="182"/>
      <c r="J43" s="182"/>
      <c r="K43" s="182"/>
      <c r="L43" s="181">
        <f t="shared" si="22"/>
        <v>0</v>
      </c>
      <c r="M43" s="181">
        <f t="shared" si="23"/>
        <v>0</v>
      </c>
      <c r="N43" s="181">
        <f t="shared" si="24"/>
        <v>0</v>
      </c>
      <c r="O43" s="183"/>
    </row>
    <row r="44" spans="1:15" s="27" customFormat="1" x14ac:dyDescent="0.55000000000000004">
      <c r="A44" s="174"/>
      <c r="B44" s="175" t="s">
        <v>108</v>
      </c>
      <c r="C44" s="175" t="s">
        <v>109</v>
      </c>
      <c r="D44" s="176"/>
      <c r="E44" s="176"/>
      <c r="F44" s="176"/>
      <c r="G44" s="176"/>
      <c r="H44" s="176"/>
      <c r="I44" s="177"/>
      <c r="J44" s="177"/>
      <c r="K44" s="177"/>
      <c r="L44" s="178"/>
      <c r="M44" s="178"/>
      <c r="N44" s="178"/>
      <c r="O44" s="170"/>
    </row>
    <row r="45" spans="1:15" s="27" customFormat="1" x14ac:dyDescent="0.55000000000000004">
      <c r="A45" s="179" t="s">
        <v>97</v>
      </c>
      <c r="B45" s="179" t="s">
        <v>110</v>
      </c>
      <c r="C45" s="180" t="s">
        <v>109</v>
      </c>
      <c r="D45" s="181"/>
      <c r="E45" s="181">
        <f>ROUND($D45*$C$8*$C$9,2)</f>
        <v>0</v>
      </c>
      <c r="F45" s="181"/>
      <c r="G45" s="16">
        <f>IFERROR(ROUND(($F45/$E45)-1,3),0)</f>
        <v>0</v>
      </c>
      <c r="H45" s="16">
        <f>IFERROR(ROUND(($F45/$D45)-1,3),0)</f>
        <v>0</v>
      </c>
      <c r="I45" s="182"/>
      <c r="J45" s="182"/>
      <c r="K45" s="182"/>
      <c r="L45" s="181">
        <f>IFERROR(ROUND((($E45*$I45)+($E45*$J45*0.8)+($E45*$K45*0.9)),2),0)</f>
        <v>0</v>
      </c>
      <c r="M45" s="181">
        <f>IFERROR(ROUND((($F45*$I45)+($F45*$J45*0.8)+($F45*$K45*0.9)),2),0)</f>
        <v>0</v>
      </c>
      <c r="N45" s="181">
        <f>IFERROR(ROUND($L45-$M45,2),0)</f>
        <v>0</v>
      </c>
      <c r="O45" s="183"/>
    </row>
    <row r="46" spans="1:15" s="27" customFormat="1" x14ac:dyDescent="0.55000000000000004">
      <c r="A46" s="179"/>
      <c r="B46" s="179"/>
      <c r="C46" s="180" t="s">
        <v>109</v>
      </c>
      <c r="D46" s="181"/>
      <c r="E46" s="181">
        <f t="shared" ref="E46:E49" si="25">ROUND($D46*$C$8*$C$9,2)</f>
        <v>0</v>
      </c>
      <c r="F46" s="181"/>
      <c r="G46" s="16">
        <f t="shared" ref="G46:G49" si="26">IFERROR(ROUND(($F46/$E46)-1,3),0)</f>
        <v>0</v>
      </c>
      <c r="H46" s="16">
        <f t="shared" ref="H46:H49" si="27">IFERROR(ROUND(($F46/$D46)-1,3),0)</f>
        <v>0</v>
      </c>
      <c r="I46" s="182"/>
      <c r="J46" s="182"/>
      <c r="K46" s="182"/>
      <c r="L46" s="181">
        <f t="shared" ref="L46:L49" si="28">IFERROR(ROUND((($E46*$I46)+($E46*$J46*0.8)+($E46*$K46*0.9)),2),0)</f>
        <v>0</v>
      </c>
      <c r="M46" s="181">
        <f t="shared" ref="M46:M49" si="29">IFERROR(ROUND((($F46*$I46)+($F46*$J46*0.8)+($F46*$K46*0.9)),2),0)</f>
        <v>0</v>
      </c>
      <c r="N46" s="181">
        <f t="shared" ref="N46:N49" si="30">IFERROR(ROUND($L46-$M46,2),0)</f>
        <v>0</v>
      </c>
      <c r="O46" s="183"/>
    </row>
    <row r="47" spans="1:15" s="27" customFormat="1" x14ac:dyDescent="0.55000000000000004">
      <c r="A47" s="179"/>
      <c r="B47" s="179"/>
      <c r="C47" s="180" t="s">
        <v>109</v>
      </c>
      <c r="D47" s="181"/>
      <c r="E47" s="181">
        <f t="shared" si="25"/>
        <v>0</v>
      </c>
      <c r="F47" s="181"/>
      <c r="G47" s="16">
        <f t="shared" si="26"/>
        <v>0</v>
      </c>
      <c r="H47" s="16">
        <f t="shared" si="27"/>
        <v>0</v>
      </c>
      <c r="I47" s="182"/>
      <c r="J47" s="182"/>
      <c r="K47" s="182"/>
      <c r="L47" s="181">
        <f t="shared" si="28"/>
        <v>0</v>
      </c>
      <c r="M47" s="181">
        <f t="shared" si="29"/>
        <v>0</v>
      </c>
      <c r="N47" s="181">
        <f t="shared" si="30"/>
        <v>0</v>
      </c>
      <c r="O47" s="170"/>
    </row>
    <row r="48" spans="1:15" s="27" customFormat="1" x14ac:dyDescent="0.55000000000000004">
      <c r="A48" s="179"/>
      <c r="B48" s="179"/>
      <c r="C48" s="180" t="s">
        <v>109</v>
      </c>
      <c r="D48" s="181"/>
      <c r="E48" s="181">
        <f t="shared" si="25"/>
        <v>0</v>
      </c>
      <c r="F48" s="181"/>
      <c r="G48" s="16">
        <f t="shared" si="26"/>
        <v>0</v>
      </c>
      <c r="H48" s="16">
        <f t="shared" si="27"/>
        <v>0</v>
      </c>
      <c r="I48" s="182"/>
      <c r="J48" s="182"/>
      <c r="K48" s="182"/>
      <c r="L48" s="181">
        <f t="shared" si="28"/>
        <v>0</v>
      </c>
      <c r="M48" s="181">
        <f t="shared" si="29"/>
        <v>0</v>
      </c>
      <c r="N48" s="181">
        <f t="shared" si="30"/>
        <v>0</v>
      </c>
      <c r="O48" s="183"/>
    </row>
    <row r="49" spans="1:15" s="27" customFormat="1" x14ac:dyDescent="0.55000000000000004">
      <c r="A49" s="179"/>
      <c r="B49" s="179"/>
      <c r="C49" s="180" t="s">
        <v>109</v>
      </c>
      <c r="D49" s="181"/>
      <c r="E49" s="181">
        <f t="shared" si="25"/>
        <v>0</v>
      </c>
      <c r="F49" s="181"/>
      <c r="G49" s="16">
        <f t="shared" si="26"/>
        <v>0</v>
      </c>
      <c r="H49" s="16">
        <f t="shared" si="27"/>
        <v>0</v>
      </c>
      <c r="I49" s="182"/>
      <c r="J49" s="182"/>
      <c r="K49" s="182"/>
      <c r="L49" s="181">
        <f t="shared" si="28"/>
        <v>0</v>
      </c>
      <c r="M49" s="181">
        <f t="shared" si="29"/>
        <v>0</v>
      </c>
      <c r="N49" s="181">
        <f t="shared" si="30"/>
        <v>0</v>
      </c>
      <c r="O49" s="170"/>
    </row>
    <row r="50" spans="1:15" s="27" customFormat="1" x14ac:dyDescent="0.55000000000000004">
      <c r="A50" s="174"/>
      <c r="B50" s="175" t="s">
        <v>111</v>
      </c>
      <c r="C50" s="175" t="s">
        <v>112</v>
      </c>
      <c r="D50" s="176"/>
      <c r="E50" s="176"/>
      <c r="F50" s="176"/>
      <c r="G50" s="176"/>
      <c r="H50" s="176"/>
      <c r="I50" s="177"/>
      <c r="J50" s="177"/>
      <c r="K50" s="177"/>
      <c r="L50" s="178"/>
      <c r="M50" s="178"/>
      <c r="N50" s="178"/>
      <c r="O50" s="170"/>
    </row>
    <row r="51" spans="1:15" s="27" customFormat="1" x14ac:dyDescent="0.55000000000000004">
      <c r="A51" s="179" t="s">
        <v>97</v>
      </c>
      <c r="B51" s="179" t="s">
        <v>113</v>
      </c>
      <c r="C51" s="180" t="s">
        <v>112</v>
      </c>
      <c r="D51" s="181"/>
      <c r="E51" s="181">
        <f>ROUND($D51*$C$8*$C$9,2)</f>
        <v>0</v>
      </c>
      <c r="F51" s="181"/>
      <c r="G51" s="16">
        <f>IFERROR(ROUND(($F51/$E51)-1,3),0)</f>
        <v>0</v>
      </c>
      <c r="H51" s="16">
        <f>IFERROR(ROUND(($F51/$D51)-1,3),0)</f>
        <v>0</v>
      </c>
      <c r="I51" s="182"/>
      <c r="J51" s="182"/>
      <c r="K51" s="182"/>
      <c r="L51" s="181">
        <f>IFERROR(ROUND((($E51*$I51)+($E51*$J51*0.8)+($E51*$K51*0.9)),2),0)</f>
        <v>0</v>
      </c>
      <c r="M51" s="181">
        <f>IFERROR(ROUND((($F51*$I51)+($F51*$J51*0.8)+($F51*$K51*0.9)),2),0)</f>
        <v>0</v>
      </c>
      <c r="N51" s="181">
        <f>IFERROR(ROUND($L51-$M51,2),0)</f>
        <v>0</v>
      </c>
      <c r="O51" s="183"/>
    </row>
    <row r="52" spans="1:15" s="27" customFormat="1" x14ac:dyDescent="0.55000000000000004">
      <c r="A52" s="179"/>
      <c r="B52" s="179"/>
      <c r="C52" s="180" t="s">
        <v>112</v>
      </c>
      <c r="D52" s="181"/>
      <c r="E52" s="181">
        <f t="shared" ref="E52:E55" si="31">ROUND($D52*$C$8*$C$9,2)</f>
        <v>0</v>
      </c>
      <c r="F52" s="181"/>
      <c r="G52" s="16">
        <f t="shared" ref="G52:G55" si="32">IFERROR(ROUND(($F52/$E52)-1,3),0)</f>
        <v>0</v>
      </c>
      <c r="H52" s="16">
        <f t="shared" ref="H52:H55" si="33">IFERROR(ROUND(($F52/$D52)-1,3),0)</f>
        <v>0</v>
      </c>
      <c r="I52" s="182"/>
      <c r="J52" s="182"/>
      <c r="K52" s="182"/>
      <c r="L52" s="181">
        <f t="shared" ref="L52:L55" si="34">IFERROR(ROUND((($E52*$I52)+($E52*$J52*0.8)+($E52*$K52*0.9)),2),0)</f>
        <v>0</v>
      </c>
      <c r="M52" s="181">
        <f t="shared" ref="M52:M55" si="35">IFERROR(ROUND((($F52*$I52)+($F52*$J52*0.8)+($F52*$K52*0.9)),2),0)</f>
        <v>0</v>
      </c>
      <c r="N52" s="181">
        <f t="shared" ref="N52:N55" si="36">IFERROR(ROUND($L52-$M52,2),0)</f>
        <v>0</v>
      </c>
      <c r="O52" s="183"/>
    </row>
    <row r="53" spans="1:15" s="27" customFormat="1" x14ac:dyDescent="0.55000000000000004">
      <c r="A53" s="179"/>
      <c r="B53" s="179"/>
      <c r="C53" s="180" t="s">
        <v>112</v>
      </c>
      <c r="D53" s="181"/>
      <c r="E53" s="181">
        <f t="shared" si="31"/>
        <v>0</v>
      </c>
      <c r="F53" s="181"/>
      <c r="G53" s="16">
        <f t="shared" si="32"/>
        <v>0</v>
      </c>
      <c r="H53" s="16">
        <f t="shared" si="33"/>
        <v>0</v>
      </c>
      <c r="I53" s="182"/>
      <c r="J53" s="182"/>
      <c r="K53" s="182"/>
      <c r="L53" s="181">
        <f t="shared" si="34"/>
        <v>0</v>
      </c>
      <c r="M53" s="181">
        <f t="shared" si="35"/>
        <v>0</v>
      </c>
      <c r="N53" s="181">
        <f t="shared" si="36"/>
        <v>0</v>
      </c>
      <c r="O53" s="183"/>
    </row>
    <row r="54" spans="1:15" s="27" customFormat="1" x14ac:dyDescent="0.55000000000000004">
      <c r="A54" s="179"/>
      <c r="B54" s="179"/>
      <c r="C54" s="180" t="s">
        <v>112</v>
      </c>
      <c r="D54" s="181"/>
      <c r="E54" s="181">
        <f t="shared" si="31"/>
        <v>0</v>
      </c>
      <c r="F54" s="181"/>
      <c r="G54" s="16">
        <f t="shared" si="32"/>
        <v>0</v>
      </c>
      <c r="H54" s="16">
        <f t="shared" si="33"/>
        <v>0</v>
      </c>
      <c r="I54" s="182"/>
      <c r="J54" s="182"/>
      <c r="K54" s="182"/>
      <c r="L54" s="181">
        <f t="shared" si="34"/>
        <v>0</v>
      </c>
      <c r="M54" s="181">
        <f t="shared" si="35"/>
        <v>0</v>
      </c>
      <c r="N54" s="181">
        <f t="shared" si="36"/>
        <v>0</v>
      </c>
      <c r="O54" s="183"/>
    </row>
    <row r="55" spans="1:15" s="27" customFormat="1" x14ac:dyDescent="0.55000000000000004">
      <c r="A55" s="179"/>
      <c r="B55" s="179"/>
      <c r="C55" s="180" t="s">
        <v>112</v>
      </c>
      <c r="D55" s="181"/>
      <c r="E55" s="181">
        <f t="shared" si="31"/>
        <v>0</v>
      </c>
      <c r="F55" s="181"/>
      <c r="G55" s="16">
        <f t="shared" si="32"/>
        <v>0</v>
      </c>
      <c r="H55" s="16">
        <f t="shared" si="33"/>
        <v>0</v>
      </c>
      <c r="I55" s="182"/>
      <c r="J55" s="182"/>
      <c r="K55" s="182"/>
      <c r="L55" s="181">
        <f t="shared" si="34"/>
        <v>0</v>
      </c>
      <c r="M55" s="181">
        <f t="shared" si="35"/>
        <v>0</v>
      </c>
      <c r="N55" s="181">
        <f t="shared" si="36"/>
        <v>0</v>
      </c>
      <c r="O55" s="183"/>
    </row>
    <row r="56" spans="1:15" s="27" customFormat="1" x14ac:dyDescent="0.55000000000000004">
      <c r="A56" s="174"/>
      <c r="B56" s="175" t="s">
        <v>114</v>
      </c>
      <c r="C56" s="175" t="s">
        <v>115</v>
      </c>
      <c r="D56" s="176"/>
      <c r="E56" s="176"/>
      <c r="F56" s="176"/>
      <c r="G56" s="176"/>
      <c r="H56" s="176"/>
      <c r="I56" s="177"/>
      <c r="J56" s="177"/>
      <c r="K56" s="177"/>
      <c r="L56" s="178"/>
      <c r="M56" s="178"/>
      <c r="N56" s="178"/>
      <c r="O56" s="170"/>
    </row>
    <row r="57" spans="1:15" s="27" customFormat="1" x14ac:dyDescent="0.55000000000000004">
      <c r="A57" s="179" t="s">
        <v>97</v>
      </c>
      <c r="B57" s="179" t="s">
        <v>116</v>
      </c>
      <c r="C57" s="180" t="s">
        <v>115</v>
      </c>
      <c r="D57" s="181"/>
      <c r="E57" s="181">
        <f>ROUND($D57*$C$8*$C$9,2)</f>
        <v>0</v>
      </c>
      <c r="F57" s="181"/>
      <c r="G57" s="16">
        <f>IFERROR(ROUND(($F57/$E57)-1,3),0)</f>
        <v>0</v>
      </c>
      <c r="H57" s="16">
        <f>IFERROR(ROUND(($F57/$D57)-1,3),0)</f>
        <v>0</v>
      </c>
      <c r="I57" s="182"/>
      <c r="J57" s="182"/>
      <c r="K57" s="182"/>
      <c r="L57" s="181">
        <f>IFERROR(ROUND((($E57*$I57)+($E57*$J57*0.8)+($E57*$K57*0.9)),2),0)</f>
        <v>0</v>
      </c>
      <c r="M57" s="181">
        <f>IFERROR(ROUND((($F57*$I57)+($F57*$J57*0.8)+($F57*$K57*0.9)),2),0)</f>
        <v>0</v>
      </c>
      <c r="N57" s="181">
        <f>IFERROR(ROUND($L57-$M57,2),0)</f>
        <v>0</v>
      </c>
      <c r="O57" s="183"/>
    </row>
    <row r="58" spans="1:15" s="27" customFormat="1" x14ac:dyDescent="0.55000000000000004">
      <c r="A58" s="179"/>
      <c r="B58" s="179"/>
      <c r="C58" s="180" t="s">
        <v>115</v>
      </c>
      <c r="D58" s="181"/>
      <c r="E58" s="181">
        <f t="shared" ref="E58:E61" si="37">ROUND($D58*$C$8*$C$9,2)</f>
        <v>0</v>
      </c>
      <c r="F58" s="181"/>
      <c r="G58" s="16">
        <f t="shared" ref="G58:G61" si="38">IFERROR(ROUND(($F58/$E58)-1,3),0)</f>
        <v>0</v>
      </c>
      <c r="H58" s="16">
        <f t="shared" ref="H58:H61" si="39">IFERROR(ROUND(($F58/$D58)-1,3),0)</f>
        <v>0</v>
      </c>
      <c r="I58" s="182"/>
      <c r="J58" s="182"/>
      <c r="K58" s="182"/>
      <c r="L58" s="181">
        <f t="shared" ref="L58:L61" si="40">IFERROR(ROUND((($E58*$I58)+($E58*$J58*0.8)+($E58*$K58*0.9)),2),0)</f>
        <v>0</v>
      </c>
      <c r="M58" s="181">
        <f t="shared" ref="M58:M61" si="41">IFERROR(ROUND((($F58*$I58)+($F58*$J58*0.8)+($F58*$K58*0.9)),2),0)</f>
        <v>0</v>
      </c>
      <c r="N58" s="181">
        <f t="shared" ref="N58:N61" si="42">IFERROR(ROUND($L58-$M58,2),0)</f>
        <v>0</v>
      </c>
      <c r="O58" s="183"/>
    </row>
    <row r="59" spans="1:15" s="27" customFormat="1" x14ac:dyDescent="0.55000000000000004">
      <c r="A59" s="179"/>
      <c r="B59" s="179"/>
      <c r="C59" s="180" t="s">
        <v>115</v>
      </c>
      <c r="D59" s="181"/>
      <c r="E59" s="181">
        <f t="shared" si="37"/>
        <v>0</v>
      </c>
      <c r="F59" s="181"/>
      <c r="G59" s="16">
        <f t="shared" si="38"/>
        <v>0</v>
      </c>
      <c r="H59" s="16">
        <f t="shared" si="39"/>
        <v>0</v>
      </c>
      <c r="I59" s="182"/>
      <c r="J59" s="182"/>
      <c r="K59" s="182"/>
      <c r="L59" s="181">
        <f t="shared" si="40"/>
        <v>0</v>
      </c>
      <c r="M59" s="181">
        <f t="shared" si="41"/>
        <v>0</v>
      </c>
      <c r="N59" s="181">
        <f t="shared" si="42"/>
        <v>0</v>
      </c>
      <c r="O59" s="183"/>
    </row>
    <row r="60" spans="1:15" s="27" customFormat="1" x14ac:dyDescent="0.55000000000000004">
      <c r="A60" s="179"/>
      <c r="B60" s="179"/>
      <c r="C60" s="180" t="s">
        <v>115</v>
      </c>
      <c r="D60" s="181"/>
      <c r="E60" s="181">
        <f t="shared" si="37"/>
        <v>0</v>
      </c>
      <c r="F60" s="181"/>
      <c r="G60" s="16">
        <f t="shared" si="38"/>
        <v>0</v>
      </c>
      <c r="H60" s="16">
        <f t="shared" si="39"/>
        <v>0</v>
      </c>
      <c r="I60" s="182"/>
      <c r="J60" s="182"/>
      <c r="K60" s="182"/>
      <c r="L60" s="181">
        <f t="shared" si="40"/>
        <v>0</v>
      </c>
      <c r="M60" s="181">
        <f t="shared" si="41"/>
        <v>0</v>
      </c>
      <c r="N60" s="181">
        <f t="shared" si="42"/>
        <v>0</v>
      </c>
      <c r="O60" s="183"/>
    </row>
    <row r="61" spans="1:15" s="27" customFormat="1" x14ac:dyDescent="0.55000000000000004">
      <c r="A61" s="179"/>
      <c r="B61" s="179"/>
      <c r="C61" s="180" t="s">
        <v>115</v>
      </c>
      <c r="D61" s="181"/>
      <c r="E61" s="181">
        <f t="shared" si="37"/>
        <v>0</v>
      </c>
      <c r="F61" s="181"/>
      <c r="G61" s="16">
        <f t="shared" si="38"/>
        <v>0</v>
      </c>
      <c r="H61" s="16">
        <f t="shared" si="39"/>
        <v>0</v>
      </c>
      <c r="I61" s="182"/>
      <c r="J61" s="182"/>
      <c r="K61" s="182"/>
      <c r="L61" s="181">
        <f t="shared" si="40"/>
        <v>0</v>
      </c>
      <c r="M61" s="181">
        <f t="shared" si="41"/>
        <v>0</v>
      </c>
      <c r="N61" s="181">
        <f t="shared" si="42"/>
        <v>0</v>
      </c>
      <c r="O61" s="183"/>
    </row>
    <row r="62" spans="1:15" s="27" customFormat="1" x14ac:dyDescent="0.55000000000000004">
      <c r="A62" s="174"/>
      <c r="B62" s="175" t="s">
        <v>117</v>
      </c>
      <c r="C62" s="175" t="s">
        <v>118</v>
      </c>
      <c r="D62" s="176"/>
      <c r="E62" s="176"/>
      <c r="F62" s="176"/>
      <c r="G62" s="176"/>
      <c r="H62" s="176"/>
      <c r="I62" s="177"/>
      <c r="J62" s="177"/>
      <c r="K62" s="177"/>
      <c r="L62" s="178"/>
      <c r="M62" s="178"/>
      <c r="N62" s="178"/>
      <c r="O62" s="170"/>
    </row>
    <row r="63" spans="1:15" s="27" customFormat="1" x14ac:dyDescent="0.55000000000000004">
      <c r="A63" s="179" t="s">
        <v>97</v>
      </c>
      <c r="B63" s="179" t="s">
        <v>119</v>
      </c>
      <c r="C63" s="180" t="s">
        <v>118</v>
      </c>
      <c r="D63" s="181"/>
      <c r="E63" s="181">
        <f>ROUND($D63*$C$8*$C$9,2)</f>
        <v>0</v>
      </c>
      <c r="F63" s="181"/>
      <c r="G63" s="16">
        <f>IFERROR(ROUND(($F63/$E63)-1,3),0)</f>
        <v>0</v>
      </c>
      <c r="H63" s="16">
        <f>IFERROR(ROUND(($F63/$D63)-1,3),0)</f>
        <v>0</v>
      </c>
      <c r="I63" s="182"/>
      <c r="J63" s="182"/>
      <c r="K63" s="182"/>
      <c r="L63" s="181">
        <f>IFERROR(ROUND((($E63*$I63)+($E63*$J63*0.8)+($E63*$K63*0.9)),2),0)</f>
        <v>0</v>
      </c>
      <c r="M63" s="181">
        <f>IFERROR(ROUND((($F63*$I63)+($F63*$J63*0.8)+($F63*$K63*0.9)),2),0)</f>
        <v>0</v>
      </c>
      <c r="N63" s="181">
        <f>IFERROR(ROUND($L63-$M63,2),0)</f>
        <v>0</v>
      </c>
      <c r="O63" s="183"/>
    </row>
    <row r="64" spans="1:15" s="27" customFormat="1" x14ac:dyDescent="0.55000000000000004">
      <c r="A64" s="179"/>
      <c r="B64" s="179"/>
      <c r="C64" s="180" t="s">
        <v>118</v>
      </c>
      <c r="D64" s="181"/>
      <c r="E64" s="181">
        <f t="shared" ref="E64:E67" si="43">ROUND($D64*$C$8*$C$9,2)</f>
        <v>0</v>
      </c>
      <c r="F64" s="181"/>
      <c r="G64" s="16">
        <f t="shared" ref="G64:G67" si="44">IFERROR(ROUND(($F64/$E64)-1,3),0)</f>
        <v>0</v>
      </c>
      <c r="H64" s="16">
        <f t="shared" ref="H64:H67" si="45">IFERROR(ROUND(($F64/$D64)-1,3),0)</f>
        <v>0</v>
      </c>
      <c r="I64" s="182"/>
      <c r="J64" s="182"/>
      <c r="K64" s="182"/>
      <c r="L64" s="181">
        <f t="shared" ref="L64:L67" si="46">IFERROR(ROUND((($E64*$I64)+($E64*$J64*0.8)+($E64*$K64*0.9)),2),0)</f>
        <v>0</v>
      </c>
      <c r="M64" s="181">
        <f t="shared" ref="M64:M67" si="47">IFERROR(ROUND((($F64*$I64)+($F64*$J64*0.8)+($F64*$K64*0.9)),2),0)</f>
        <v>0</v>
      </c>
      <c r="N64" s="181">
        <f t="shared" ref="N64:N67" si="48">IFERROR(ROUND($L64-$M64,2),0)</f>
        <v>0</v>
      </c>
      <c r="O64" s="183"/>
    </row>
    <row r="65" spans="1:16" s="27" customFormat="1" x14ac:dyDescent="0.55000000000000004">
      <c r="A65" s="179"/>
      <c r="B65" s="179"/>
      <c r="C65" s="180" t="s">
        <v>118</v>
      </c>
      <c r="D65" s="181"/>
      <c r="E65" s="181">
        <f t="shared" si="43"/>
        <v>0</v>
      </c>
      <c r="F65" s="181"/>
      <c r="G65" s="16">
        <f t="shared" si="44"/>
        <v>0</v>
      </c>
      <c r="H65" s="16">
        <f t="shared" si="45"/>
        <v>0</v>
      </c>
      <c r="I65" s="182"/>
      <c r="J65" s="182"/>
      <c r="K65" s="182"/>
      <c r="L65" s="181">
        <f t="shared" si="46"/>
        <v>0</v>
      </c>
      <c r="M65" s="181">
        <f t="shared" si="47"/>
        <v>0</v>
      </c>
      <c r="N65" s="181">
        <f t="shared" si="48"/>
        <v>0</v>
      </c>
      <c r="O65" s="183"/>
    </row>
    <row r="66" spans="1:16" s="27" customFormat="1" x14ac:dyDescent="0.55000000000000004">
      <c r="A66" s="179"/>
      <c r="B66" s="179"/>
      <c r="C66" s="180" t="s">
        <v>118</v>
      </c>
      <c r="D66" s="181"/>
      <c r="E66" s="181">
        <f t="shared" si="43"/>
        <v>0</v>
      </c>
      <c r="F66" s="181"/>
      <c r="G66" s="16">
        <f t="shared" si="44"/>
        <v>0</v>
      </c>
      <c r="H66" s="16">
        <f t="shared" si="45"/>
        <v>0</v>
      </c>
      <c r="I66" s="182"/>
      <c r="J66" s="182"/>
      <c r="K66" s="182"/>
      <c r="L66" s="181">
        <f t="shared" si="46"/>
        <v>0</v>
      </c>
      <c r="M66" s="181">
        <f t="shared" si="47"/>
        <v>0</v>
      </c>
      <c r="N66" s="181">
        <f t="shared" si="48"/>
        <v>0</v>
      </c>
      <c r="O66" s="183"/>
    </row>
    <row r="67" spans="1:16" s="27" customFormat="1" x14ac:dyDescent="0.55000000000000004">
      <c r="A67" s="179"/>
      <c r="B67" s="179"/>
      <c r="C67" s="180" t="s">
        <v>118</v>
      </c>
      <c r="D67" s="181"/>
      <c r="E67" s="181">
        <f t="shared" si="43"/>
        <v>0</v>
      </c>
      <c r="F67" s="181"/>
      <c r="G67" s="16">
        <f t="shared" si="44"/>
        <v>0</v>
      </c>
      <c r="H67" s="16">
        <f t="shared" si="45"/>
        <v>0</v>
      </c>
      <c r="I67" s="182"/>
      <c r="J67" s="182"/>
      <c r="K67" s="182"/>
      <c r="L67" s="181">
        <f t="shared" si="46"/>
        <v>0</v>
      </c>
      <c r="M67" s="181">
        <f t="shared" si="47"/>
        <v>0</v>
      </c>
      <c r="N67" s="181">
        <f t="shared" si="48"/>
        <v>0</v>
      </c>
      <c r="O67" s="183"/>
    </row>
    <row r="68" spans="1:16" s="27" customFormat="1" x14ac:dyDescent="0.55000000000000004">
      <c r="A68" s="174"/>
      <c r="B68" s="175" t="s">
        <v>120</v>
      </c>
      <c r="C68" s="175" t="s">
        <v>121</v>
      </c>
      <c r="D68" s="176"/>
      <c r="E68" s="176"/>
      <c r="F68" s="176"/>
      <c r="G68" s="176"/>
      <c r="H68" s="176"/>
      <c r="I68" s="177"/>
      <c r="J68" s="177"/>
      <c r="K68" s="177"/>
      <c r="L68" s="178"/>
      <c r="M68" s="178"/>
      <c r="N68" s="178"/>
      <c r="O68" s="170"/>
    </row>
    <row r="69" spans="1:16" s="27" customFormat="1" x14ac:dyDescent="0.55000000000000004">
      <c r="A69" s="179" t="s">
        <v>97</v>
      </c>
      <c r="B69" s="184" t="s">
        <v>122</v>
      </c>
      <c r="C69" s="180" t="s">
        <v>121</v>
      </c>
      <c r="D69" s="181"/>
      <c r="E69" s="181">
        <f>ROUND($D69*$C$8*$C$9,2)</f>
        <v>0</v>
      </c>
      <c r="F69" s="181"/>
      <c r="G69" s="16">
        <f>IFERROR(ROUND(($F69/$E69)-1,3),0)</f>
        <v>0</v>
      </c>
      <c r="H69" s="16">
        <f>IFERROR(ROUND(($F69/$D69)-1,3),0)</f>
        <v>0</v>
      </c>
      <c r="I69" s="182"/>
      <c r="J69" s="182"/>
      <c r="K69" s="182"/>
      <c r="L69" s="181">
        <f>IFERROR(ROUND((($E69*$I69)+($E69*$J69*0.8)+($E69*$K69*0.9)),2),0)</f>
        <v>0</v>
      </c>
      <c r="M69" s="181">
        <f>IFERROR(ROUND((($F69*$I69)+($F69*$J69*0.8)+($F69*$K69*0.9)),2),0)</f>
        <v>0</v>
      </c>
      <c r="N69" s="181">
        <f>IFERROR(ROUND($L69-$M69,2),0)</f>
        <v>0</v>
      </c>
      <c r="O69" s="183"/>
    </row>
    <row r="70" spans="1:16" s="27" customFormat="1" x14ac:dyDescent="0.55000000000000004">
      <c r="A70" s="179"/>
      <c r="B70" s="179"/>
      <c r="C70" s="180" t="s">
        <v>121</v>
      </c>
      <c r="D70" s="181"/>
      <c r="E70" s="181">
        <f t="shared" ref="E70:E73" si="49">ROUND($D70*$C$8*$C$9,2)</f>
        <v>0</v>
      </c>
      <c r="F70" s="181"/>
      <c r="G70" s="16">
        <f t="shared" ref="G70:G73" si="50">IFERROR(ROUND(($F70/$E70)-1,3),0)</f>
        <v>0</v>
      </c>
      <c r="H70" s="16">
        <f t="shared" ref="H70:H73" si="51">IFERROR(ROUND(($F70/$D70)-1,3),0)</f>
        <v>0</v>
      </c>
      <c r="I70" s="182"/>
      <c r="J70" s="182"/>
      <c r="K70" s="182"/>
      <c r="L70" s="181">
        <f t="shared" ref="L70:L73" si="52">IFERROR(ROUND((($E70*$I70)+($E70*$J70*0.8)+($E70*$K70*0.9)),2),0)</f>
        <v>0</v>
      </c>
      <c r="M70" s="181">
        <f t="shared" ref="M70:M73" si="53">IFERROR(ROUND((($F70*$I70)+($F70*$J70*0.8)+($F70*$K70*0.9)),2),0)</f>
        <v>0</v>
      </c>
      <c r="N70" s="181">
        <f t="shared" ref="N70:N73" si="54">IFERROR(ROUND($L70-$M70,2),0)</f>
        <v>0</v>
      </c>
      <c r="O70" s="183"/>
    </row>
    <row r="71" spans="1:16" s="27" customFormat="1" x14ac:dyDescent="0.55000000000000004">
      <c r="A71" s="179"/>
      <c r="B71" s="179"/>
      <c r="C71" s="180" t="s">
        <v>121</v>
      </c>
      <c r="D71" s="181"/>
      <c r="E71" s="181">
        <f t="shared" si="49"/>
        <v>0</v>
      </c>
      <c r="F71" s="181"/>
      <c r="G71" s="16">
        <f t="shared" si="50"/>
        <v>0</v>
      </c>
      <c r="H71" s="16">
        <f t="shared" si="51"/>
        <v>0</v>
      </c>
      <c r="I71" s="182"/>
      <c r="J71" s="182"/>
      <c r="K71" s="182"/>
      <c r="L71" s="181">
        <f t="shared" si="52"/>
        <v>0</v>
      </c>
      <c r="M71" s="181">
        <f t="shared" si="53"/>
        <v>0</v>
      </c>
      <c r="N71" s="181">
        <f t="shared" si="54"/>
        <v>0</v>
      </c>
      <c r="O71" s="183"/>
    </row>
    <row r="72" spans="1:16" s="27" customFormat="1" x14ac:dyDescent="0.55000000000000004">
      <c r="A72" s="179"/>
      <c r="B72" s="179"/>
      <c r="C72" s="180" t="s">
        <v>121</v>
      </c>
      <c r="D72" s="181"/>
      <c r="E72" s="181">
        <f t="shared" si="49"/>
        <v>0</v>
      </c>
      <c r="F72" s="181"/>
      <c r="G72" s="16">
        <f t="shared" si="50"/>
        <v>0</v>
      </c>
      <c r="H72" s="16">
        <f t="shared" si="51"/>
        <v>0</v>
      </c>
      <c r="I72" s="182"/>
      <c r="J72" s="182"/>
      <c r="K72" s="182"/>
      <c r="L72" s="181">
        <f t="shared" si="52"/>
        <v>0</v>
      </c>
      <c r="M72" s="181">
        <f t="shared" si="53"/>
        <v>0</v>
      </c>
      <c r="N72" s="181">
        <f t="shared" si="54"/>
        <v>0</v>
      </c>
      <c r="O72" s="183"/>
    </row>
    <row r="73" spans="1:16" s="27" customFormat="1" x14ac:dyDescent="0.55000000000000004">
      <c r="A73" s="179"/>
      <c r="B73" s="179"/>
      <c r="C73" s="180" t="s">
        <v>121</v>
      </c>
      <c r="D73" s="181"/>
      <c r="E73" s="181">
        <f t="shared" si="49"/>
        <v>0</v>
      </c>
      <c r="F73" s="181"/>
      <c r="G73" s="16">
        <f t="shared" si="50"/>
        <v>0</v>
      </c>
      <c r="H73" s="16">
        <f t="shared" si="51"/>
        <v>0</v>
      </c>
      <c r="I73" s="182"/>
      <c r="J73" s="182"/>
      <c r="K73" s="182"/>
      <c r="L73" s="181">
        <f t="shared" si="52"/>
        <v>0</v>
      </c>
      <c r="M73" s="181">
        <f t="shared" si="53"/>
        <v>0</v>
      </c>
      <c r="N73" s="181">
        <f t="shared" si="54"/>
        <v>0</v>
      </c>
      <c r="O73" s="183"/>
    </row>
    <row r="74" spans="1:16" s="27" customFormat="1" ht="28.8" x14ac:dyDescent="0.55000000000000004">
      <c r="A74" s="174"/>
      <c r="B74" s="175" t="s">
        <v>123</v>
      </c>
      <c r="C74" s="175" t="s">
        <v>124</v>
      </c>
      <c r="D74" s="176"/>
      <c r="E74" s="176"/>
      <c r="F74" s="176"/>
      <c r="G74" s="176"/>
      <c r="H74" s="176"/>
      <c r="I74" s="177"/>
      <c r="J74" s="177"/>
      <c r="K74" s="177"/>
      <c r="L74" s="178"/>
      <c r="M74" s="178"/>
      <c r="N74" s="178"/>
      <c r="O74" s="170"/>
    </row>
    <row r="75" spans="1:16" s="27" customFormat="1" x14ac:dyDescent="0.55000000000000004">
      <c r="A75" s="179" t="s">
        <v>97</v>
      </c>
      <c r="B75" s="179" t="s">
        <v>125</v>
      </c>
      <c r="C75" s="180" t="s">
        <v>124</v>
      </c>
      <c r="D75" s="181"/>
      <c r="E75" s="181">
        <f>ROUND($D75*$C$8*$C$9,2)</f>
        <v>0</v>
      </c>
      <c r="F75" s="181"/>
      <c r="G75" s="16">
        <f>IFERROR(ROUND(($F75/$E75)-1,3),0)</f>
        <v>0</v>
      </c>
      <c r="H75" s="16">
        <f>IFERROR(ROUND(($F75/$D75)-1,3),0)</f>
        <v>0</v>
      </c>
      <c r="I75" s="182"/>
      <c r="J75" s="182"/>
      <c r="K75" s="182"/>
      <c r="L75" s="181">
        <f>IFERROR(ROUND((($E75*$I75)+($E75*$J75*0.8)+($E75*$K75*0.9)),2),0)</f>
        <v>0</v>
      </c>
      <c r="M75" s="181">
        <f>IFERROR(ROUND((($F75*$I75)+($F75*$J75*0.8)+($F75*$K75*0.9)),2),0)</f>
        <v>0</v>
      </c>
      <c r="N75" s="181">
        <f>IFERROR(ROUND($L75-$M75,2),0)</f>
        <v>0</v>
      </c>
      <c r="O75" s="183"/>
    </row>
    <row r="76" spans="1:16" s="27" customFormat="1" x14ac:dyDescent="0.55000000000000004">
      <c r="A76" s="179"/>
      <c r="B76" s="179"/>
      <c r="C76" s="180" t="s">
        <v>124</v>
      </c>
      <c r="D76" s="181"/>
      <c r="E76" s="181">
        <f t="shared" ref="E76:E79" si="55">ROUND($D76*$C$8*$C$9,2)</f>
        <v>0</v>
      </c>
      <c r="F76" s="181"/>
      <c r="G76" s="16">
        <f t="shared" ref="G76:G79" si="56">IFERROR(ROUND(($F76/$E76)-1,3),0)</f>
        <v>0</v>
      </c>
      <c r="H76" s="16">
        <f t="shared" ref="H76:H79" si="57">IFERROR(ROUND(($F76/$D76)-1,3),0)</f>
        <v>0</v>
      </c>
      <c r="I76" s="182"/>
      <c r="J76" s="182"/>
      <c r="K76" s="182"/>
      <c r="L76" s="181">
        <f t="shared" ref="L76:L79" si="58">IFERROR(ROUND((($E76*$I76)+($E76*$J76*0.8)+($E76*$K76*0.9)),2),0)</f>
        <v>0</v>
      </c>
      <c r="M76" s="181">
        <f t="shared" ref="M76:M79" si="59">IFERROR(ROUND((($F76*$I76)+($F76*$J76*0.8)+($F76*$K76*0.9)),2),0)</f>
        <v>0</v>
      </c>
      <c r="N76" s="181">
        <f t="shared" ref="N76:N79" si="60">IFERROR(ROUND($L76-$M76,2),0)</f>
        <v>0</v>
      </c>
      <c r="O76" s="183"/>
    </row>
    <row r="77" spans="1:16" s="27" customFormat="1" x14ac:dyDescent="0.55000000000000004">
      <c r="A77" s="179"/>
      <c r="B77" s="179"/>
      <c r="C77" s="180" t="s">
        <v>124</v>
      </c>
      <c r="D77" s="181"/>
      <c r="E77" s="181">
        <f t="shared" si="55"/>
        <v>0</v>
      </c>
      <c r="F77" s="181"/>
      <c r="G77" s="16">
        <f t="shared" si="56"/>
        <v>0</v>
      </c>
      <c r="H77" s="16">
        <f t="shared" si="57"/>
        <v>0</v>
      </c>
      <c r="I77" s="182"/>
      <c r="J77" s="182"/>
      <c r="K77" s="182"/>
      <c r="L77" s="181">
        <f t="shared" si="58"/>
        <v>0</v>
      </c>
      <c r="M77" s="181">
        <f t="shared" si="59"/>
        <v>0</v>
      </c>
      <c r="N77" s="181">
        <f t="shared" si="60"/>
        <v>0</v>
      </c>
      <c r="O77" s="183"/>
    </row>
    <row r="78" spans="1:16" s="27" customFormat="1" x14ac:dyDescent="0.55000000000000004">
      <c r="A78" s="179"/>
      <c r="B78" s="179"/>
      <c r="C78" s="180" t="s">
        <v>124</v>
      </c>
      <c r="D78" s="181"/>
      <c r="E78" s="181">
        <f t="shared" si="55"/>
        <v>0</v>
      </c>
      <c r="F78" s="181"/>
      <c r="G78" s="16">
        <f t="shared" si="56"/>
        <v>0</v>
      </c>
      <c r="H78" s="16">
        <f t="shared" si="57"/>
        <v>0</v>
      </c>
      <c r="I78" s="182"/>
      <c r="J78" s="182"/>
      <c r="K78" s="182"/>
      <c r="L78" s="181">
        <f t="shared" si="58"/>
        <v>0</v>
      </c>
      <c r="M78" s="181">
        <f t="shared" si="59"/>
        <v>0</v>
      </c>
      <c r="N78" s="181">
        <f t="shared" si="60"/>
        <v>0</v>
      </c>
      <c r="O78" s="183"/>
    </row>
    <row r="79" spans="1:16" s="27" customFormat="1" x14ac:dyDescent="0.55000000000000004">
      <c r="A79" s="179"/>
      <c r="B79" s="179"/>
      <c r="C79" s="180" t="s">
        <v>124</v>
      </c>
      <c r="D79" s="181"/>
      <c r="E79" s="181">
        <f t="shared" si="55"/>
        <v>0</v>
      </c>
      <c r="F79" s="181"/>
      <c r="G79" s="16">
        <f t="shared" si="56"/>
        <v>0</v>
      </c>
      <c r="H79" s="16">
        <f t="shared" si="57"/>
        <v>0</v>
      </c>
      <c r="I79" s="182"/>
      <c r="J79" s="182"/>
      <c r="K79" s="182"/>
      <c r="L79" s="181">
        <f t="shared" si="58"/>
        <v>0</v>
      </c>
      <c r="M79" s="181">
        <f t="shared" si="59"/>
        <v>0</v>
      </c>
      <c r="N79" s="181">
        <f t="shared" si="60"/>
        <v>0</v>
      </c>
      <c r="O79" s="183"/>
    </row>
    <row r="80" spans="1:16" s="27" customFormat="1" x14ac:dyDescent="0.55000000000000004">
      <c r="A80" s="185"/>
      <c r="B80" s="173"/>
      <c r="C80" s="17"/>
      <c r="D80" s="3"/>
      <c r="E80" s="3"/>
      <c r="F80" s="186"/>
      <c r="G80" s="187"/>
      <c r="H80" s="187"/>
      <c r="I80" s="187"/>
      <c r="J80" s="188"/>
      <c r="K80" s="188"/>
      <c r="L80" s="188"/>
      <c r="M80" s="5"/>
      <c r="N80" s="186"/>
      <c r="O80" s="186"/>
      <c r="P80" s="183"/>
    </row>
    <row r="81" spans="1:16" s="27" customFormat="1" x14ac:dyDescent="0.55000000000000004">
      <c r="A81" s="185"/>
      <c r="B81" s="173"/>
      <c r="C81" s="17"/>
      <c r="D81" s="3"/>
      <c r="E81" s="3"/>
      <c r="F81" s="186"/>
      <c r="G81" s="186"/>
      <c r="H81" s="187"/>
      <c r="I81" s="187"/>
      <c r="J81" s="188"/>
      <c r="K81" s="188"/>
      <c r="L81" s="188"/>
      <c r="M81" s="5"/>
      <c r="N81" s="186"/>
      <c r="O81" s="186"/>
      <c r="P81" s="183"/>
    </row>
    <row r="82" spans="1:16" s="27" customFormat="1" x14ac:dyDescent="0.55000000000000004">
      <c r="A82" s="14"/>
      <c r="B82" s="173"/>
      <c r="C82" s="17"/>
      <c r="D82" s="3"/>
      <c r="E82" s="186"/>
      <c r="F82" s="186"/>
      <c r="G82" s="187"/>
      <c r="H82" s="187"/>
      <c r="I82" s="188"/>
      <c r="J82" s="188"/>
      <c r="K82" s="188"/>
      <c r="L82" s="5"/>
      <c r="M82" s="186"/>
      <c r="N82" s="186"/>
      <c r="O82" s="183"/>
    </row>
    <row r="83" spans="1:16" s="27" customFormat="1" x14ac:dyDescent="0.55000000000000004">
      <c r="A83" s="26"/>
      <c r="C83" s="17"/>
      <c r="D83" s="3"/>
      <c r="E83" s="3"/>
      <c r="F83" s="3"/>
      <c r="G83" s="3"/>
      <c r="H83" s="3"/>
      <c r="I83" s="4"/>
      <c r="J83" s="4"/>
      <c r="K83" s="4"/>
      <c r="L83" s="5"/>
      <c r="M83" s="14"/>
      <c r="N83" s="14"/>
      <c r="O83" s="183"/>
    </row>
    <row r="84" spans="1:16" s="27" customFormat="1" ht="18.3" x14ac:dyDescent="0.55000000000000004">
      <c r="A84" s="377" t="s">
        <v>126</v>
      </c>
      <c r="B84" s="378"/>
      <c r="C84" s="378"/>
      <c r="D84" s="378"/>
      <c r="E84" s="378"/>
      <c r="F84" s="378"/>
      <c r="G84" s="378"/>
      <c r="H84" s="378"/>
      <c r="I84" s="378"/>
      <c r="J84" s="378"/>
      <c r="K84" s="378"/>
      <c r="L84" s="379"/>
      <c r="M84" s="189"/>
      <c r="N84" s="189"/>
      <c r="O84" s="183"/>
    </row>
    <row r="85" spans="1:16" s="27" customFormat="1" ht="18.3" x14ac:dyDescent="0.55000000000000004">
      <c r="A85" s="380"/>
      <c r="B85" s="381"/>
      <c r="C85" s="381"/>
      <c r="D85" s="381"/>
      <c r="E85" s="381"/>
      <c r="F85" s="381"/>
      <c r="G85" s="381"/>
      <c r="H85" s="381"/>
      <c r="I85" s="381"/>
      <c r="J85" s="381"/>
      <c r="K85" s="381"/>
      <c r="L85" s="382"/>
      <c r="M85" s="189"/>
      <c r="N85" s="189"/>
      <c r="O85" s="183"/>
    </row>
    <row r="86" spans="1:16" s="27" customFormat="1" x14ac:dyDescent="0.55000000000000004">
      <c r="A86" s="167"/>
      <c r="B86" s="167"/>
      <c r="C86" s="167"/>
      <c r="D86" s="167"/>
      <c r="E86" s="167"/>
      <c r="F86" s="167"/>
      <c r="G86" s="167"/>
      <c r="H86" s="167"/>
      <c r="I86" s="167"/>
      <c r="J86" s="167"/>
      <c r="K86" s="167"/>
      <c r="L86" s="167"/>
      <c r="M86" s="167"/>
      <c r="N86" s="167"/>
      <c r="O86" s="183"/>
    </row>
    <row r="87" spans="1:16" s="27" customFormat="1" ht="15.6" x14ac:dyDescent="0.6">
      <c r="A87" s="14"/>
      <c r="B87" s="26"/>
      <c r="D87" s="17"/>
      <c r="E87" s="169"/>
      <c r="F87" s="169"/>
      <c r="G87" s="169"/>
      <c r="H87" s="169"/>
      <c r="I87" s="190"/>
      <c r="J87" s="374" t="s">
        <v>127</v>
      </c>
      <c r="K87" s="375"/>
      <c r="L87" s="376"/>
      <c r="M87" s="50"/>
      <c r="N87" s="14"/>
      <c r="O87" s="183"/>
    </row>
    <row r="88" spans="1:16" s="27" customFormat="1" ht="151.5" customHeight="1" x14ac:dyDescent="0.55000000000000004">
      <c r="A88" s="171" t="s">
        <v>86</v>
      </c>
      <c r="B88" s="171" t="s">
        <v>87</v>
      </c>
      <c r="C88" s="292" t="s">
        <v>88</v>
      </c>
      <c r="D88" s="172" t="str">
        <f>CONCATENATE("January ",FilingYear," Tariffed Rate (Current Rate)")</f>
        <v>January 2024 Tariffed Rate (Current Rate)</v>
      </c>
      <c r="E88" s="172" t="str">
        <f>CONCATENATE("Adjusted January ",FilingYear," Tariffed Rate (Adjusted Current Rate)")</f>
        <v>Adjusted January 2024 Tariffed Rate (Adjusted Current Rate)</v>
      </c>
      <c r="F88" s="172" t="s">
        <v>89</v>
      </c>
      <c r="G88" s="172" t="s">
        <v>90</v>
      </c>
      <c r="H88" s="172" t="s">
        <v>91</v>
      </c>
      <c r="I88" s="293" t="str">
        <f>CONCATENATE("Cumulative Demand Over Base Period",CHAR(10)," (Calendar Year ",DemandYear,")")</f>
        <v>Cumulative Demand Over Base Period
 (Calendar Year 2023)</v>
      </c>
      <c r="J88" s="294" t="s">
        <v>92</v>
      </c>
      <c r="K88" s="294" t="s">
        <v>93</v>
      </c>
      <c r="L88" s="172" t="s">
        <v>128</v>
      </c>
      <c r="M88" s="14"/>
      <c r="N88" s="14"/>
      <c r="O88" s="183"/>
    </row>
    <row r="89" spans="1:16" s="27" customFormat="1" x14ac:dyDescent="0.55000000000000004">
      <c r="A89" s="191"/>
      <c r="B89" s="192"/>
      <c r="C89" s="193" t="str">
        <f>"Col "&amp;COLUMN(C89)+69</f>
        <v>Col 72</v>
      </c>
      <c r="D89" s="193" t="str">
        <f t="shared" ref="D89:L89" si="61">"Col "&amp;COLUMN(D89)+69</f>
        <v>Col 73</v>
      </c>
      <c r="E89" s="193" t="str">
        <f t="shared" si="61"/>
        <v>Col 74</v>
      </c>
      <c r="F89" s="193" t="str">
        <f t="shared" si="61"/>
        <v>Col 75</v>
      </c>
      <c r="G89" s="193" t="str">
        <f t="shared" si="61"/>
        <v>Col 76</v>
      </c>
      <c r="H89" s="193" t="str">
        <f t="shared" si="61"/>
        <v>Col 77</v>
      </c>
      <c r="I89" s="193" t="str">
        <f t="shared" si="61"/>
        <v>Col 78</v>
      </c>
      <c r="J89" s="193" t="str">
        <f t="shared" si="61"/>
        <v>Col 79</v>
      </c>
      <c r="K89" s="193" t="str">
        <f t="shared" si="61"/>
        <v>Col 80</v>
      </c>
      <c r="L89" s="193" t="str">
        <f t="shared" si="61"/>
        <v>Col 81</v>
      </c>
      <c r="M89" s="14"/>
      <c r="N89" s="14"/>
      <c r="O89" s="183"/>
    </row>
    <row r="90" spans="1:16" s="27" customFormat="1" ht="155.25" customHeight="1" x14ac:dyDescent="0.55000000000000004">
      <c r="A90" s="171" t="s">
        <v>67</v>
      </c>
      <c r="B90" s="171" t="s">
        <v>67</v>
      </c>
      <c r="C90" s="15" t="s">
        <v>67</v>
      </c>
      <c r="D90" s="172" t="s">
        <v>67</v>
      </c>
      <c r="E90" s="172" t="str">
        <f>CONCATENATE(D89," X Category Relationship Unfreeze Factor X Net Contributor or Net Recipient Factor")</f>
        <v>Col 73 X Category Relationship Unfreeze Factor X Net Contributor or Net Recipient Factor</v>
      </c>
      <c r="F90" s="172" t="s">
        <v>67</v>
      </c>
      <c r="G90" s="172" t="str">
        <f>"("&amp;F89&amp;" / "&amp;D89&amp;") - 1"</f>
        <v>(Col 75 / Col 73) - 1</v>
      </c>
      <c r="H90" s="172" t="str">
        <f>CONCATENATE("(",F89," / ",D89,") - 1")</f>
        <v>(Col 75 / Col 73) - 1</v>
      </c>
      <c r="I90" s="172" t="s">
        <v>67</v>
      </c>
      <c r="J90" s="194" t="str">
        <f>E89&amp;" x "&amp;I89</f>
        <v>Col 74 x Col 78</v>
      </c>
      <c r="K90" s="194" t="str">
        <f>F89&amp;" x "&amp;I89</f>
        <v>Col 75 x Col 78</v>
      </c>
      <c r="L90" s="195" t="str">
        <f>K89&amp;" - "&amp;J89</f>
        <v>Col 80 - Col 79</v>
      </c>
    </row>
    <row r="91" spans="1:16" s="27" customFormat="1" x14ac:dyDescent="0.55000000000000004">
      <c r="A91" s="174"/>
      <c r="B91" s="175" t="s">
        <v>95</v>
      </c>
      <c r="C91" s="175" t="s">
        <v>96</v>
      </c>
      <c r="D91" s="176"/>
      <c r="E91" s="176"/>
      <c r="F91" s="176"/>
      <c r="G91" s="176"/>
      <c r="H91" s="176"/>
      <c r="I91" s="176"/>
      <c r="J91" s="177"/>
      <c r="K91" s="177"/>
      <c r="L91" s="178"/>
    </row>
    <row r="92" spans="1:16" s="27" customFormat="1" x14ac:dyDescent="0.55000000000000004">
      <c r="A92" s="179" t="s">
        <v>97</v>
      </c>
      <c r="B92" s="179" t="s">
        <v>129</v>
      </c>
      <c r="C92" s="180" t="s">
        <v>96</v>
      </c>
      <c r="D92" s="181"/>
      <c r="E92" s="181">
        <f>D92*$C$8*$C$9</f>
        <v>0</v>
      </c>
      <c r="F92" s="181"/>
      <c r="G92" s="16">
        <f>IFERROR(ROUND(($F92/$E92)-1,3),0)</f>
        <v>0</v>
      </c>
      <c r="H92" s="16">
        <f t="shared" ref="H92:H150" si="62">IFERROR(ROUND(($F92/$D92)-1,3),0)</f>
        <v>0</v>
      </c>
      <c r="I92" s="196"/>
      <c r="J92" s="197">
        <f>IFERROR(ROUND($E92*$I92,2),0)</f>
        <v>0</v>
      </c>
      <c r="K92" s="197">
        <f>IFERROR(ROUND($F92*$I92,2),0)</f>
        <v>0</v>
      </c>
      <c r="L92" s="197">
        <f>IFERROR(ROUND(K92-J92,2),0)</f>
        <v>0</v>
      </c>
    </row>
    <row r="93" spans="1:16" s="27" customFormat="1" x14ac:dyDescent="0.55000000000000004">
      <c r="A93" s="179"/>
      <c r="B93" s="179"/>
      <c r="C93" s="180" t="s">
        <v>96</v>
      </c>
      <c r="D93" s="181"/>
      <c r="E93" s="181">
        <f t="shared" ref="E93:E96" si="63">D93*$C$8*$C$9</f>
        <v>0</v>
      </c>
      <c r="F93" s="181"/>
      <c r="G93" s="16">
        <f t="shared" ref="G93:G96" si="64">IFERROR(ROUND(($F93/$E93)-1,3),0)</f>
        <v>0</v>
      </c>
      <c r="H93" s="16">
        <f t="shared" si="62"/>
        <v>0</v>
      </c>
      <c r="I93" s="196"/>
      <c r="J93" s="197">
        <f>IFERROR(ROUND($E93*$I93,2),0)</f>
        <v>0</v>
      </c>
      <c r="K93" s="197">
        <f>IFERROR(ROUND($F93*$I93,2),0)</f>
        <v>0</v>
      </c>
      <c r="L93" s="197">
        <f>IFERROR(ROUND(K93-J93,2),0)</f>
        <v>0</v>
      </c>
    </row>
    <row r="94" spans="1:16" s="27" customFormat="1" x14ac:dyDescent="0.55000000000000004">
      <c r="A94" s="179"/>
      <c r="B94" s="179"/>
      <c r="C94" s="180" t="s">
        <v>96</v>
      </c>
      <c r="D94" s="181"/>
      <c r="E94" s="181">
        <f t="shared" si="63"/>
        <v>0</v>
      </c>
      <c r="F94" s="181"/>
      <c r="G94" s="16">
        <f t="shared" si="64"/>
        <v>0</v>
      </c>
      <c r="H94" s="16">
        <f t="shared" si="62"/>
        <v>0</v>
      </c>
      <c r="I94" s="196"/>
      <c r="J94" s="197">
        <f>IFERROR(ROUND($E94*$I94,2),0)</f>
        <v>0</v>
      </c>
      <c r="K94" s="197">
        <f>IFERROR(ROUND($F94*$I94,2),0)</f>
        <v>0</v>
      </c>
      <c r="L94" s="197">
        <f t="shared" ref="L94:L96" si="65">IFERROR(ROUND(K94-J94,2),0)</f>
        <v>0</v>
      </c>
    </row>
    <row r="95" spans="1:16" s="27" customFormat="1" x14ac:dyDescent="0.55000000000000004">
      <c r="A95" s="179"/>
      <c r="B95" s="179"/>
      <c r="C95" s="180" t="s">
        <v>96</v>
      </c>
      <c r="D95" s="181"/>
      <c r="E95" s="181">
        <f t="shared" si="63"/>
        <v>0</v>
      </c>
      <c r="F95" s="181"/>
      <c r="G95" s="16">
        <f t="shared" si="64"/>
        <v>0</v>
      </c>
      <c r="H95" s="16">
        <f t="shared" si="62"/>
        <v>0</v>
      </c>
      <c r="I95" s="196"/>
      <c r="J95" s="197">
        <f>IFERROR(ROUND($E95*$I95,2),0)</f>
        <v>0</v>
      </c>
      <c r="K95" s="197">
        <f>IFERROR(ROUND($F95*$I95,2),0)</f>
        <v>0</v>
      </c>
      <c r="L95" s="197">
        <f t="shared" si="65"/>
        <v>0</v>
      </c>
    </row>
    <row r="96" spans="1:16" s="27" customFormat="1" x14ac:dyDescent="0.55000000000000004">
      <c r="A96" s="179"/>
      <c r="B96" s="179"/>
      <c r="C96" s="180" t="s">
        <v>96</v>
      </c>
      <c r="D96" s="181"/>
      <c r="E96" s="181">
        <f t="shared" si="63"/>
        <v>0</v>
      </c>
      <c r="F96" s="181"/>
      <c r="G96" s="16">
        <f t="shared" si="64"/>
        <v>0</v>
      </c>
      <c r="H96" s="16">
        <f t="shared" si="62"/>
        <v>0</v>
      </c>
      <c r="I96" s="196"/>
      <c r="J96" s="197">
        <f>IFERROR(ROUND($E96*$I96,2),0)</f>
        <v>0</v>
      </c>
      <c r="K96" s="197">
        <f>IFERROR(ROUND($F96*$I96,2),0)</f>
        <v>0</v>
      </c>
      <c r="L96" s="197">
        <f t="shared" si="65"/>
        <v>0</v>
      </c>
    </row>
    <row r="97" spans="1:12" s="27" customFormat="1" x14ac:dyDescent="0.55000000000000004">
      <c r="A97" s="174"/>
      <c r="B97" s="175" t="s">
        <v>99</v>
      </c>
      <c r="C97" s="175" t="s">
        <v>100</v>
      </c>
      <c r="D97" s="176"/>
      <c r="E97" s="176"/>
      <c r="F97" s="176"/>
      <c r="G97" s="176"/>
      <c r="H97" s="176"/>
      <c r="I97" s="176"/>
      <c r="J97" s="177"/>
      <c r="K97" s="177"/>
      <c r="L97" s="178"/>
    </row>
    <row r="98" spans="1:12" s="27" customFormat="1" x14ac:dyDescent="0.55000000000000004">
      <c r="A98" s="179" t="s">
        <v>97</v>
      </c>
      <c r="B98" s="184" t="s">
        <v>130</v>
      </c>
      <c r="C98" s="180" t="s">
        <v>100</v>
      </c>
      <c r="D98" s="181"/>
      <c r="E98" s="181">
        <f>D98*$C$8*$C$9</f>
        <v>0</v>
      </c>
      <c r="F98" s="181"/>
      <c r="G98" s="16">
        <f>IFERROR(ROUND(($F98/$E98)-1,3),0)</f>
        <v>0</v>
      </c>
      <c r="H98" s="16">
        <f t="shared" si="62"/>
        <v>0</v>
      </c>
      <c r="I98" s="196"/>
      <c r="J98" s="197">
        <f>IFERROR(ROUND($E98*$I98,2),0)</f>
        <v>0</v>
      </c>
      <c r="K98" s="197">
        <f>IFERROR(ROUND($F98*$I98,2),0)</f>
        <v>0</v>
      </c>
      <c r="L98" s="197">
        <f>IFERROR(ROUND(K98-J98,2),0)</f>
        <v>0</v>
      </c>
    </row>
    <row r="99" spans="1:12" s="27" customFormat="1" x14ac:dyDescent="0.55000000000000004">
      <c r="A99" s="179"/>
      <c r="B99" s="179"/>
      <c r="C99" s="180" t="s">
        <v>100</v>
      </c>
      <c r="D99" s="181"/>
      <c r="E99" s="181">
        <f t="shared" ref="E99:E102" si="66">D99*$C$8*$C$9</f>
        <v>0</v>
      </c>
      <c r="F99" s="181"/>
      <c r="G99" s="16">
        <f t="shared" ref="G99:G102" si="67">IFERROR(ROUND(($F99/$E99)-1,3),0)</f>
        <v>0</v>
      </c>
      <c r="H99" s="16">
        <f t="shared" si="62"/>
        <v>0</v>
      </c>
      <c r="I99" s="196"/>
      <c r="J99" s="197">
        <f>IFERROR(ROUND($E99*$I99,2),0)</f>
        <v>0</v>
      </c>
      <c r="K99" s="197">
        <f>IFERROR(ROUND($F99*$I99,2),0)</f>
        <v>0</v>
      </c>
      <c r="L99" s="197">
        <f>IFERROR(ROUND(K99-J99,2),0)</f>
        <v>0</v>
      </c>
    </row>
    <row r="100" spans="1:12" s="27" customFormat="1" x14ac:dyDescent="0.55000000000000004">
      <c r="A100" s="179"/>
      <c r="B100" s="179"/>
      <c r="C100" s="180" t="s">
        <v>100</v>
      </c>
      <c r="D100" s="181"/>
      <c r="E100" s="181">
        <f t="shared" si="66"/>
        <v>0</v>
      </c>
      <c r="F100" s="181"/>
      <c r="G100" s="16">
        <f t="shared" si="67"/>
        <v>0</v>
      </c>
      <c r="H100" s="16">
        <f t="shared" si="62"/>
        <v>0</v>
      </c>
      <c r="I100" s="196"/>
      <c r="J100" s="197">
        <f>IFERROR(ROUND($E100*$I100,2),0)</f>
        <v>0</v>
      </c>
      <c r="K100" s="197">
        <f>IFERROR(ROUND($F100*$I100,2),0)</f>
        <v>0</v>
      </c>
      <c r="L100" s="197">
        <f t="shared" ref="L100:L102" si="68">IFERROR(ROUND(K100-J100,2),0)</f>
        <v>0</v>
      </c>
    </row>
    <row r="101" spans="1:12" s="27" customFormat="1" x14ac:dyDescent="0.55000000000000004">
      <c r="A101" s="179"/>
      <c r="B101" s="179"/>
      <c r="C101" s="180" t="s">
        <v>100</v>
      </c>
      <c r="D101" s="181"/>
      <c r="E101" s="181">
        <f t="shared" si="66"/>
        <v>0</v>
      </c>
      <c r="F101" s="181"/>
      <c r="G101" s="16">
        <f t="shared" si="67"/>
        <v>0</v>
      </c>
      <c r="H101" s="16">
        <f t="shared" si="62"/>
        <v>0</v>
      </c>
      <c r="I101" s="196"/>
      <c r="J101" s="197">
        <f>IFERROR(ROUND($E101*$I101,2),0)</f>
        <v>0</v>
      </c>
      <c r="K101" s="197">
        <f>IFERROR(ROUND($F101*$I101,2),0)</f>
        <v>0</v>
      </c>
      <c r="L101" s="197">
        <f t="shared" si="68"/>
        <v>0</v>
      </c>
    </row>
    <row r="102" spans="1:12" s="27" customFormat="1" x14ac:dyDescent="0.55000000000000004">
      <c r="A102" s="179"/>
      <c r="B102" s="179"/>
      <c r="C102" s="180" t="s">
        <v>100</v>
      </c>
      <c r="D102" s="181"/>
      <c r="E102" s="181">
        <f t="shared" si="66"/>
        <v>0</v>
      </c>
      <c r="F102" s="181"/>
      <c r="G102" s="16">
        <f t="shared" si="67"/>
        <v>0</v>
      </c>
      <c r="H102" s="16">
        <f t="shared" si="62"/>
        <v>0</v>
      </c>
      <c r="I102" s="196"/>
      <c r="J102" s="197">
        <f>IFERROR(ROUND($E102*$I102,2),0)</f>
        <v>0</v>
      </c>
      <c r="K102" s="197">
        <f>IFERROR(ROUND($F102*$I102,2),0)</f>
        <v>0</v>
      </c>
      <c r="L102" s="197">
        <f t="shared" si="68"/>
        <v>0</v>
      </c>
    </row>
    <row r="103" spans="1:12" s="27" customFormat="1" x14ac:dyDescent="0.55000000000000004">
      <c r="A103" s="174"/>
      <c r="B103" s="175" t="s">
        <v>102</v>
      </c>
      <c r="C103" s="175" t="s">
        <v>103</v>
      </c>
      <c r="D103" s="176"/>
      <c r="E103" s="176"/>
      <c r="F103" s="176"/>
      <c r="G103" s="176"/>
      <c r="H103" s="176"/>
      <c r="I103" s="176"/>
      <c r="J103" s="177"/>
      <c r="K103" s="177"/>
      <c r="L103" s="178"/>
    </row>
    <row r="104" spans="1:12" s="27" customFormat="1" x14ac:dyDescent="0.55000000000000004">
      <c r="A104" s="179" t="s">
        <v>97</v>
      </c>
      <c r="B104" s="179" t="s">
        <v>131</v>
      </c>
      <c r="C104" s="180" t="s">
        <v>103</v>
      </c>
      <c r="D104" s="181"/>
      <c r="E104" s="181">
        <f>D104*$C$8*$C$9</f>
        <v>0</v>
      </c>
      <c r="F104" s="181"/>
      <c r="G104" s="16">
        <f>IFERROR(ROUND(($F104/$E104)-1,3),0)</f>
        <v>0</v>
      </c>
      <c r="H104" s="16">
        <f t="shared" si="62"/>
        <v>0</v>
      </c>
      <c r="I104" s="196"/>
      <c r="J104" s="197">
        <f>IFERROR(ROUND($E104*$I104,2),0)</f>
        <v>0</v>
      </c>
      <c r="K104" s="197">
        <f>IFERROR(ROUND($F104*$I104,2),0)</f>
        <v>0</v>
      </c>
      <c r="L104" s="197">
        <f t="shared" ref="L104" si="69">IFERROR(ROUND(K104-J104,2),0)</f>
        <v>0</v>
      </c>
    </row>
    <row r="105" spans="1:12" s="27" customFormat="1" x14ac:dyDescent="0.55000000000000004">
      <c r="A105" s="179"/>
      <c r="B105" s="179"/>
      <c r="C105" s="180" t="s">
        <v>103</v>
      </c>
      <c r="D105" s="181"/>
      <c r="E105" s="181">
        <f t="shared" ref="E105:E108" si="70">D105*$C$8*$C$9</f>
        <v>0</v>
      </c>
      <c r="F105" s="181"/>
      <c r="G105" s="16">
        <f t="shared" ref="G105:G108" si="71">IFERROR(ROUND(($F105/$E105)-1,3),0)</f>
        <v>0</v>
      </c>
      <c r="H105" s="16">
        <f t="shared" si="62"/>
        <v>0</v>
      </c>
      <c r="I105" s="196"/>
      <c r="J105" s="197">
        <f>IFERROR(ROUND($E105*$I105,2),0)</f>
        <v>0</v>
      </c>
      <c r="K105" s="197">
        <f>IFERROR(ROUND($F105*$I105,2),0)</f>
        <v>0</v>
      </c>
      <c r="L105" s="197">
        <f>IFERROR(ROUND(K105-J105,2),0)</f>
        <v>0</v>
      </c>
    </row>
    <row r="106" spans="1:12" s="27" customFormat="1" x14ac:dyDescent="0.55000000000000004">
      <c r="A106" s="179"/>
      <c r="B106" s="179"/>
      <c r="C106" s="180" t="s">
        <v>103</v>
      </c>
      <c r="D106" s="181"/>
      <c r="E106" s="181">
        <f t="shared" si="70"/>
        <v>0</v>
      </c>
      <c r="F106" s="181"/>
      <c r="G106" s="16">
        <f t="shared" si="71"/>
        <v>0</v>
      </c>
      <c r="H106" s="16">
        <f t="shared" si="62"/>
        <v>0</v>
      </c>
      <c r="I106" s="196"/>
      <c r="J106" s="197">
        <f>IFERROR(ROUND($E106*$I106,2),0)</f>
        <v>0</v>
      </c>
      <c r="K106" s="197">
        <f>IFERROR(ROUND($F106*$I106,2),0)</f>
        <v>0</v>
      </c>
      <c r="L106" s="197">
        <f t="shared" ref="L106:L108" si="72">IFERROR(ROUND(K106-J106,2),0)</f>
        <v>0</v>
      </c>
    </row>
    <row r="107" spans="1:12" s="27" customFormat="1" x14ac:dyDescent="0.55000000000000004">
      <c r="A107" s="179"/>
      <c r="B107" s="179"/>
      <c r="C107" s="180" t="s">
        <v>103</v>
      </c>
      <c r="D107" s="181"/>
      <c r="E107" s="181">
        <f t="shared" si="70"/>
        <v>0</v>
      </c>
      <c r="F107" s="181"/>
      <c r="G107" s="16">
        <f t="shared" si="71"/>
        <v>0</v>
      </c>
      <c r="H107" s="16">
        <f t="shared" si="62"/>
        <v>0</v>
      </c>
      <c r="I107" s="196"/>
      <c r="J107" s="197">
        <f>IFERROR(ROUND($E107*$I107,2),0)</f>
        <v>0</v>
      </c>
      <c r="K107" s="197">
        <f>IFERROR(ROUND($F107*$I107,2),0)</f>
        <v>0</v>
      </c>
      <c r="L107" s="197">
        <f t="shared" si="72"/>
        <v>0</v>
      </c>
    </row>
    <row r="108" spans="1:12" s="27" customFormat="1" x14ac:dyDescent="0.55000000000000004">
      <c r="A108" s="179"/>
      <c r="B108" s="179"/>
      <c r="C108" s="180" t="s">
        <v>103</v>
      </c>
      <c r="D108" s="181"/>
      <c r="E108" s="181">
        <f t="shared" si="70"/>
        <v>0</v>
      </c>
      <c r="F108" s="181"/>
      <c r="G108" s="16">
        <f t="shared" si="71"/>
        <v>0</v>
      </c>
      <c r="H108" s="16">
        <f t="shared" si="62"/>
        <v>0</v>
      </c>
      <c r="I108" s="196"/>
      <c r="J108" s="197">
        <f>IFERROR(ROUND($E108*$I108,2),0)</f>
        <v>0</v>
      </c>
      <c r="K108" s="197">
        <f>IFERROR(ROUND($F108*$I108,2),0)</f>
        <v>0</v>
      </c>
      <c r="L108" s="197">
        <f t="shared" si="72"/>
        <v>0</v>
      </c>
    </row>
    <row r="109" spans="1:12" s="27" customFormat="1" x14ac:dyDescent="0.55000000000000004">
      <c r="A109" s="174"/>
      <c r="B109" s="175" t="s">
        <v>105</v>
      </c>
      <c r="C109" s="175" t="s">
        <v>106</v>
      </c>
      <c r="D109" s="176"/>
      <c r="E109" s="176"/>
      <c r="F109" s="176"/>
      <c r="G109" s="176"/>
      <c r="H109" s="176"/>
      <c r="I109" s="176"/>
      <c r="J109" s="177"/>
      <c r="K109" s="177"/>
      <c r="L109" s="178"/>
    </row>
    <row r="110" spans="1:12" x14ac:dyDescent="0.55000000000000004">
      <c r="A110" s="179" t="s">
        <v>97</v>
      </c>
      <c r="B110" s="179" t="s">
        <v>132</v>
      </c>
      <c r="C110" s="180" t="s">
        <v>106</v>
      </c>
      <c r="D110" s="181"/>
      <c r="E110" s="181">
        <f>D110*$C$8*$C$9</f>
        <v>0</v>
      </c>
      <c r="F110" s="181"/>
      <c r="G110" s="16">
        <f>IFERROR(ROUND(($F110/$E110)-1,3),0)</f>
        <v>0</v>
      </c>
      <c r="H110" s="16">
        <f t="shared" si="62"/>
        <v>0</v>
      </c>
      <c r="I110" s="196"/>
      <c r="J110" s="197">
        <f>IFERROR(ROUND($E110*$I110,2),0)</f>
        <v>0</v>
      </c>
      <c r="K110" s="197">
        <f>IFERROR(ROUND($F110*$I110,2),0)</f>
        <v>0</v>
      </c>
      <c r="L110" s="197">
        <f t="shared" ref="L110" si="73">IFERROR(ROUND(K110-J110,2),0)</f>
        <v>0</v>
      </c>
    </row>
    <row r="111" spans="1:12" s="27" customFormat="1" x14ac:dyDescent="0.55000000000000004">
      <c r="A111" s="179"/>
      <c r="B111" s="179"/>
      <c r="C111" s="180" t="s">
        <v>106</v>
      </c>
      <c r="D111" s="181"/>
      <c r="E111" s="181">
        <f t="shared" ref="E111:E114" si="74">D111*$C$8*$C$9</f>
        <v>0</v>
      </c>
      <c r="F111" s="181"/>
      <c r="G111" s="16">
        <f t="shared" ref="G111:G114" si="75">IFERROR(ROUND(($F111/$E111)-1,3),0)</f>
        <v>0</v>
      </c>
      <c r="H111" s="16">
        <f t="shared" si="62"/>
        <v>0</v>
      </c>
      <c r="I111" s="196"/>
      <c r="J111" s="197">
        <f>IFERROR(ROUND($E111*$I111,2),0)</f>
        <v>0</v>
      </c>
      <c r="K111" s="197">
        <f>IFERROR(ROUND($F111*$I111,2),0)</f>
        <v>0</v>
      </c>
      <c r="L111" s="197">
        <f>IFERROR(ROUND(K111-J111,2),0)</f>
        <v>0</v>
      </c>
    </row>
    <row r="112" spans="1:12" s="27" customFormat="1" x14ac:dyDescent="0.55000000000000004">
      <c r="A112" s="179"/>
      <c r="B112" s="179"/>
      <c r="C112" s="180" t="s">
        <v>106</v>
      </c>
      <c r="D112" s="181"/>
      <c r="E112" s="181">
        <f t="shared" si="74"/>
        <v>0</v>
      </c>
      <c r="F112" s="181"/>
      <c r="G112" s="16">
        <f t="shared" si="75"/>
        <v>0</v>
      </c>
      <c r="H112" s="16">
        <f t="shared" si="62"/>
        <v>0</v>
      </c>
      <c r="I112" s="196"/>
      <c r="J112" s="197">
        <f>IFERROR(ROUND($E112*$I112,2),0)</f>
        <v>0</v>
      </c>
      <c r="K112" s="197">
        <f>IFERROR(ROUND($F112*$I112,2),0)</f>
        <v>0</v>
      </c>
      <c r="L112" s="197">
        <f t="shared" ref="L112:L114" si="76">IFERROR(ROUND(K112-J112,2),0)</f>
        <v>0</v>
      </c>
    </row>
    <row r="113" spans="1:12" s="27" customFormat="1" x14ac:dyDescent="0.55000000000000004">
      <c r="A113" s="179"/>
      <c r="B113" s="179"/>
      <c r="C113" s="180" t="s">
        <v>106</v>
      </c>
      <c r="D113" s="181"/>
      <c r="E113" s="181">
        <f t="shared" si="74"/>
        <v>0</v>
      </c>
      <c r="F113" s="181"/>
      <c r="G113" s="16">
        <f t="shared" si="75"/>
        <v>0</v>
      </c>
      <c r="H113" s="16">
        <f t="shared" si="62"/>
        <v>0</v>
      </c>
      <c r="I113" s="196"/>
      <c r="J113" s="197">
        <f>IFERROR(ROUND($E113*$I113,2),0)</f>
        <v>0</v>
      </c>
      <c r="K113" s="197">
        <f>IFERROR(ROUND($F113*$I113,2),0)</f>
        <v>0</v>
      </c>
      <c r="L113" s="197">
        <f t="shared" si="76"/>
        <v>0</v>
      </c>
    </row>
    <row r="114" spans="1:12" s="27" customFormat="1" x14ac:dyDescent="0.55000000000000004">
      <c r="A114" s="179"/>
      <c r="B114" s="179"/>
      <c r="C114" s="180" t="s">
        <v>106</v>
      </c>
      <c r="D114" s="181"/>
      <c r="E114" s="181">
        <f t="shared" si="74"/>
        <v>0</v>
      </c>
      <c r="F114" s="181"/>
      <c r="G114" s="16">
        <f t="shared" si="75"/>
        <v>0</v>
      </c>
      <c r="H114" s="16">
        <f t="shared" si="62"/>
        <v>0</v>
      </c>
      <c r="I114" s="196"/>
      <c r="J114" s="197">
        <f>IFERROR(ROUND($E114*$I114,2),0)</f>
        <v>0</v>
      </c>
      <c r="K114" s="197">
        <f>IFERROR(ROUND($F114*$I114,2),0)</f>
        <v>0</v>
      </c>
      <c r="L114" s="197">
        <f t="shared" si="76"/>
        <v>0</v>
      </c>
    </row>
    <row r="115" spans="1:12" s="27" customFormat="1" x14ac:dyDescent="0.55000000000000004">
      <c r="A115" s="174"/>
      <c r="B115" s="175" t="s">
        <v>108</v>
      </c>
      <c r="C115" s="175" t="s">
        <v>109</v>
      </c>
      <c r="D115" s="176"/>
      <c r="E115" s="176"/>
      <c r="F115" s="176"/>
      <c r="G115" s="176"/>
      <c r="H115" s="176"/>
      <c r="I115" s="176"/>
      <c r="J115" s="177"/>
      <c r="K115" s="177"/>
      <c r="L115" s="178"/>
    </row>
    <row r="116" spans="1:12" ht="14.5" customHeight="1" x14ac:dyDescent="0.55000000000000004">
      <c r="A116" s="179" t="s">
        <v>97</v>
      </c>
      <c r="B116" s="179" t="s">
        <v>110</v>
      </c>
      <c r="C116" s="180" t="s">
        <v>109</v>
      </c>
      <c r="D116" s="181"/>
      <c r="E116" s="181">
        <f>D116*$C$8*$C$9</f>
        <v>0</v>
      </c>
      <c r="F116" s="181"/>
      <c r="G116" s="16">
        <f>IFERROR(ROUND(($F116/$E116)-1,3),0)</f>
        <v>0</v>
      </c>
      <c r="H116" s="16">
        <f t="shared" si="62"/>
        <v>0</v>
      </c>
      <c r="I116" s="196"/>
      <c r="J116" s="197">
        <f>IFERROR(ROUND($E116*$I116,2),0)</f>
        <v>0</v>
      </c>
      <c r="K116" s="197">
        <f>IFERROR(ROUND($F116*$I116,2),0)</f>
        <v>0</v>
      </c>
      <c r="L116" s="197">
        <f t="shared" ref="L116" si="77">IFERROR(ROUND(K116-J116,2),0)</f>
        <v>0</v>
      </c>
    </row>
    <row r="117" spans="1:12" s="27" customFormat="1" x14ac:dyDescent="0.55000000000000004">
      <c r="A117" s="179"/>
      <c r="B117" s="179"/>
      <c r="C117" s="180" t="s">
        <v>109</v>
      </c>
      <c r="D117" s="181"/>
      <c r="E117" s="181">
        <f t="shared" ref="E117:E120" si="78">D117*$C$8*$C$9</f>
        <v>0</v>
      </c>
      <c r="F117" s="181"/>
      <c r="G117" s="16">
        <f t="shared" ref="G117:G120" si="79">IFERROR(ROUND(($F117/$E117)-1,3),0)</f>
        <v>0</v>
      </c>
      <c r="H117" s="16">
        <f t="shared" si="62"/>
        <v>0</v>
      </c>
      <c r="I117" s="196"/>
      <c r="J117" s="197">
        <f>IFERROR(ROUND($E117*$I117,2),0)</f>
        <v>0</v>
      </c>
      <c r="K117" s="197">
        <f>IFERROR(ROUND($F117*$I117,2),0)</f>
        <v>0</v>
      </c>
      <c r="L117" s="197">
        <f>IFERROR(ROUND(K117-J117,2),0)</f>
        <v>0</v>
      </c>
    </row>
    <row r="118" spans="1:12" s="27" customFormat="1" x14ac:dyDescent="0.55000000000000004">
      <c r="A118" s="179"/>
      <c r="B118" s="179"/>
      <c r="C118" s="180" t="s">
        <v>109</v>
      </c>
      <c r="D118" s="181"/>
      <c r="E118" s="181">
        <f t="shared" si="78"/>
        <v>0</v>
      </c>
      <c r="F118" s="181"/>
      <c r="G118" s="16">
        <f t="shared" si="79"/>
        <v>0</v>
      </c>
      <c r="H118" s="16">
        <f t="shared" si="62"/>
        <v>0</v>
      </c>
      <c r="I118" s="196"/>
      <c r="J118" s="197">
        <f>IFERROR(ROUND($E118*$I118,2),0)</f>
        <v>0</v>
      </c>
      <c r="K118" s="197">
        <f>IFERROR(ROUND($F118*$I118,2),0)</f>
        <v>0</v>
      </c>
      <c r="L118" s="197">
        <f t="shared" ref="L118:L120" si="80">IFERROR(ROUND(K118-J118,2),0)</f>
        <v>0</v>
      </c>
    </row>
    <row r="119" spans="1:12" s="27" customFormat="1" x14ac:dyDescent="0.55000000000000004">
      <c r="A119" s="179"/>
      <c r="B119" s="179"/>
      <c r="C119" s="180" t="s">
        <v>109</v>
      </c>
      <c r="D119" s="181"/>
      <c r="E119" s="181">
        <f t="shared" si="78"/>
        <v>0</v>
      </c>
      <c r="F119" s="181"/>
      <c r="G119" s="16">
        <f t="shared" si="79"/>
        <v>0</v>
      </c>
      <c r="H119" s="16">
        <f t="shared" si="62"/>
        <v>0</v>
      </c>
      <c r="I119" s="196"/>
      <c r="J119" s="197">
        <f>IFERROR(ROUND($E119*$I119,2),0)</f>
        <v>0</v>
      </c>
      <c r="K119" s="197">
        <f>IFERROR(ROUND($F119*$I119,2),0)</f>
        <v>0</v>
      </c>
      <c r="L119" s="197">
        <f t="shared" si="80"/>
        <v>0</v>
      </c>
    </row>
    <row r="120" spans="1:12" s="27" customFormat="1" x14ac:dyDescent="0.55000000000000004">
      <c r="A120" s="179"/>
      <c r="B120" s="179"/>
      <c r="C120" s="180" t="s">
        <v>109</v>
      </c>
      <c r="D120" s="181"/>
      <c r="E120" s="181">
        <f t="shared" si="78"/>
        <v>0</v>
      </c>
      <c r="F120" s="181"/>
      <c r="G120" s="16">
        <f t="shared" si="79"/>
        <v>0</v>
      </c>
      <c r="H120" s="16">
        <f t="shared" si="62"/>
        <v>0</v>
      </c>
      <c r="I120" s="196"/>
      <c r="J120" s="197">
        <f>IFERROR(ROUND($E120*$I120,2),0)</f>
        <v>0</v>
      </c>
      <c r="K120" s="197">
        <f>IFERROR(ROUND($F120*$I120,2),0)</f>
        <v>0</v>
      </c>
      <c r="L120" s="197">
        <f t="shared" si="80"/>
        <v>0</v>
      </c>
    </row>
    <row r="121" spans="1:12" s="27" customFormat="1" x14ac:dyDescent="0.55000000000000004">
      <c r="A121" s="174"/>
      <c r="B121" s="175" t="s">
        <v>111</v>
      </c>
      <c r="C121" s="175" t="s">
        <v>112</v>
      </c>
      <c r="D121" s="176"/>
      <c r="E121" s="176"/>
      <c r="F121" s="176"/>
      <c r="G121" s="176"/>
      <c r="H121" s="176"/>
      <c r="I121" s="176"/>
      <c r="J121" s="177"/>
      <c r="K121" s="177"/>
      <c r="L121" s="178"/>
    </row>
    <row r="122" spans="1:12" x14ac:dyDescent="0.55000000000000004">
      <c r="A122" s="179" t="s">
        <v>97</v>
      </c>
      <c r="B122" s="179" t="s">
        <v>113</v>
      </c>
      <c r="C122" s="180" t="s">
        <v>112</v>
      </c>
      <c r="D122" s="181"/>
      <c r="E122" s="181">
        <f>D122*$C$8*$C$9</f>
        <v>0</v>
      </c>
      <c r="F122" s="181"/>
      <c r="G122" s="16">
        <f>IFERROR(ROUND(($F122/$E122)-1,3),0)</f>
        <v>0</v>
      </c>
      <c r="H122" s="16">
        <f t="shared" si="62"/>
        <v>0</v>
      </c>
      <c r="I122" s="196"/>
      <c r="J122" s="197">
        <f>IFERROR(ROUND($E122*$I122,2),0)</f>
        <v>0</v>
      </c>
      <c r="K122" s="197">
        <f>IFERROR(ROUND($F122*$I122,2),0)</f>
        <v>0</v>
      </c>
      <c r="L122" s="197">
        <f t="shared" ref="L122" si="81">IFERROR(ROUND(K122-J122,2),0)</f>
        <v>0</v>
      </c>
    </row>
    <row r="123" spans="1:12" s="27" customFormat="1" x14ac:dyDescent="0.55000000000000004">
      <c r="A123" s="179"/>
      <c r="B123" s="179"/>
      <c r="C123" s="180" t="s">
        <v>112</v>
      </c>
      <c r="D123" s="181"/>
      <c r="E123" s="181">
        <f t="shared" ref="E123:E126" si="82">D123*$C$8*$C$9</f>
        <v>0</v>
      </c>
      <c r="F123" s="181"/>
      <c r="G123" s="16">
        <f t="shared" ref="G123:G126" si="83">IFERROR(ROUND(($F123/$E123)-1,3),0)</f>
        <v>0</v>
      </c>
      <c r="H123" s="16">
        <f t="shared" si="62"/>
        <v>0</v>
      </c>
      <c r="I123" s="196"/>
      <c r="J123" s="197">
        <f>IFERROR(ROUND($E123*$I123,2),0)</f>
        <v>0</v>
      </c>
      <c r="K123" s="197">
        <f>IFERROR(ROUND($F123*$I123,2),0)</f>
        <v>0</v>
      </c>
      <c r="L123" s="197">
        <f>IFERROR(ROUND(K123-J123,2),0)</f>
        <v>0</v>
      </c>
    </row>
    <row r="124" spans="1:12" s="27" customFormat="1" x14ac:dyDescent="0.55000000000000004">
      <c r="A124" s="179"/>
      <c r="B124" s="179"/>
      <c r="C124" s="180" t="s">
        <v>112</v>
      </c>
      <c r="D124" s="181"/>
      <c r="E124" s="181">
        <f t="shared" si="82"/>
        <v>0</v>
      </c>
      <c r="F124" s="181"/>
      <c r="G124" s="16">
        <f t="shared" si="83"/>
        <v>0</v>
      </c>
      <c r="H124" s="16">
        <f t="shared" si="62"/>
        <v>0</v>
      </c>
      <c r="I124" s="196"/>
      <c r="J124" s="197">
        <f>IFERROR(ROUND($E124*$I124,2),0)</f>
        <v>0</v>
      </c>
      <c r="K124" s="197">
        <f>IFERROR(ROUND($F124*$I124,2),0)</f>
        <v>0</v>
      </c>
      <c r="L124" s="197">
        <f t="shared" ref="L124:L126" si="84">IFERROR(ROUND(K124-J124,2),0)</f>
        <v>0</v>
      </c>
    </row>
    <row r="125" spans="1:12" s="27" customFormat="1" x14ac:dyDescent="0.55000000000000004">
      <c r="A125" s="179"/>
      <c r="B125" s="179"/>
      <c r="C125" s="180" t="s">
        <v>112</v>
      </c>
      <c r="D125" s="181"/>
      <c r="E125" s="181">
        <f t="shared" si="82"/>
        <v>0</v>
      </c>
      <c r="F125" s="181"/>
      <c r="G125" s="16">
        <f t="shared" si="83"/>
        <v>0</v>
      </c>
      <c r="H125" s="16">
        <f t="shared" si="62"/>
        <v>0</v>
      </c>
      <c r="I125" s="196"/>
      <c r="J125" s="197">
        <f>IFERROR(ROUND($E125*$I125,2),0)</f>
        <v>0</v>
      </c>
      <c r="K125" s="197">
        <f>IFERROR(ROUND($F125*$I125,2),0)</f>
        <v>0</v>
      </c>
      <c r="L125" s="197">
        <f t="shared" si="84"/>
        <v>0</v>
      </c>
    </row>
    <row r="126" spans="1:12" s="27" customFormat="1" x14ac:dyDescent="0.55000000000000004">
      <c r="A126" s="179"/>
      <c r="B126" s="179"/>
      <c r="C126" s="180" t="s">
        <v>112</v>
      </c>
      <c r="D126" s="181"/>
      <c r="E126" s="181">
        <f t="shared" si="82"/>
        <v>0</v>
      </c>
      <c r="F126" s="181"/>
      <c r="G126" s="16">
        <f t="shared" si="83"/>
        <v>0</v>
      </c>
      <c r="H126" s="16">
        <f t="shared" si="62"/>
        <v>0</v>
      </c>
      <c r="I126" s="196"/>
      <c r="J126" s="197">
        <f>IFERROR(ROUND($E126*$I126,2),0)</f>
        <v>0</v>
      </c>
      <c r="K126" s="197">
        <f>IFERROR(ROUND($F126*$I126,2),0)</f>
        <v>0</v>
      </c>
      <c r="L126" s="197">
        <f t="shared" si="84"/>
        <v>0</v>
      </c>
    </row>
    <row r="127" spans="1:12" s="27" customFormat="1" x14ac:dyDescent="0.55000000000000004">
      <c r="A127" s="174"/>
      <c r="B127" s="175" t="s">
        <v>114</v>
      </c>
      <c r="C127" s="175" t="s">
        <v>115</v>
      </c>
      <c r="D127" s="176"/>
      <c r="E127" s="176"/>
      <c r="F127" s="176"/>
      <c r="G127" s="176"/>
      <c r="H127" s="176"/>
      <c r="I127" s="176"/>
      <c r="J127" s="177"/>
      <c r="K127" s="177"/>
      <c r="L127" s="178"/>
    </row>
    <row r="128" spans="1:12" s="27" customFormat="1" x14ac:dyDescent="0.55000000000000004">
      <c r="A128" s="179" t="s">
        <v>97</v>
      </c>
      <c r="B128" s="179" t="s">
        <v>116</v>
      </c>
      <c r="C128" s="180" t="s">
        <v>115</v>
      </c>
      <c r="D128" s="181"/>
      <c r="E128" s="181">
        <f>D128*$C$8*$C$9</f>
        <v>0</v>
      </c>
      <c r="F128" s="181"/>
      <c r="G128" s="16">
        <f>IFERROR(ROUND(($F128/$E128)-1,3),0)</f>
        <v>0</v>
      </c>
      <c r="H128" s="16">
        <f t="shared" si="62"/>
        <v>0</v>
      </c>
      <c r="I128" s="196"/>
      <c r="J128" s="197">
        <f>IFERROR(ROUND($E128*$I128,2),0)</f>
        <v>0</v>
      </c>
      <c r="K128" s="197">
        <f>IFERROR(ROUND($F128*$I128,2),0)</f>
        <v>0</v>
      </c>
      <c r="L128" s="197">
        <f t="shared" ref="L128" si="85">IFERROR(ROUND(K128-J128,2),0)</f>
        <v>0</v>
      </c>
    </row>
    <row r="129" spans="1:12" s="27" customFormat="1" x14ac:dyDescent="0.55000000000000004">
      <c r="A129" s="179"/>
      <c r="B129" s="179"/>
      <c r="C129" s="180" t="s">
        <v>115</v>
      </c>
      <c r="D129" s="181"/>
      <c r="E129" s="181">
        <f t="shared" ref="E129:E132" si="86">D129*$C$8*$C$9</f>
        <v>0</v>
      </c>
      <c r="F129" s="181"/>
      <c r="G129" s="16">
        <f t="shared" ref="G129:G132" si="87">IFERROR(ROUND(($F129/$E129)-1,3),0)</f>
        <v>0</v>
      </c>
      <c r="H129" s="16">
        <f t="shared" si="62"/>
        <v>0</v>
      </c>
      <c r="I129" s="196"/>
      <c r="J129" s="197">
        <f>IFERROR(ROUND($E129*$I129,2),0)</f>
        <v>0</v>
      </c>
      <c r="K129" s="197">
        <f>IFERROR(ROUND($F129*$I129,2),0)</f>
        <v>0</v>
      </c>
      <c r="L129" s="197">
        <f>IFERROR(ROUND(K129-J129,2),0)</f>
        <v>0</v>
      </c>
    </row>
    <row r="130" spans="1:12" s="27" customFormat="1" x14ac:dyDescent="0.55000000000000004">
      <c r="A130" s="179"/>
      <c r="B130" s="179"/>
      <c r="C130" s="180" t="s">
        <v>115</v>
      </c>
      <c r="D130" s="181"/>
      <c r="E130" s="181">
        <f t="shared" si="86"/>
        <v>0</v>
      </c>
      <c r="F130" s="181"/>
      <c r="G130" s="16">
        <f t="shared" si="87"/>
        <v>0</v>
      </c>
      <c r="H130" s="16">
        <f t="shared" si="62"/>
        <v>0</v>
      </c>
      <c r="I130" s="196"/>
      <c r="J130" s="197">
        <f>IFERROR(ROUND($E130*$I130,2),0)</f>
        <v>0</v>
      </c>
      <c r="K130" s="197">
        <f>IFERROR(ROUND($F130*$I130,2),0)</f>
        <v>0</v>
      </c>
      <c r="L130" s="197">
        <f t="shared" ref="L130:L132" si="88">IFERROR(ROUND(K130-J130,2),0)</f>
        <v>0</v>
      </c>
    </row>
    <row r="131" spans="1:12" s="27" customFormat="1" x14ac:dyDescent="0.55000000000000004">
      <c r="A131" s="179"/>
      <c r="B131" s="179"/>
      <c r="C131" s="180" t="s">
        <v>115</v>
      </c>
      <c r="D131" s="181"/>
      <c r="E131" s="181">
        <f t="shared" si="86"/>
        <v>0</v>
      </c>
      <c r="F131" s="181"/>
      <c r="G131" s="16">
        <f t="shared" si="87"/>
        <v>0</v>
      </c>
      <c r="H131" s="16">
        <f t="shared" si="62"/>
        <v>0</v>
      </c>
      <c r="I131" s="196"/>
      <c r="J131" s="197">
        <f>IFERROR(ROUND($E131*$I131,2),0)</f>
        <v>0</v>
      </c>
      <c r="K131" s="197">
        <f>IFERROR(ROUND($F131*$I131,2),0)</f>
        <v>0</v>
      </c>
      <c r="L131" s="197">
        <f t="shared" si="88"/>
        <v>0</v>
      </c>
    </row>
    <row r="132" spans="1:12" s="27" customFormat="1" x14ac:dyDescent="0.55000000000000004">
      <c r="A132" s="179"/>
      <c r="B132" s="179"/>
      <c r="C132" s="180" t="s">
        <v>115</v>
      </c>
      <c r="D132" s="181"/>
      <c r="E132" s="181">
        <f t="shared" si="86"/>
        <v>0</v>
      </c>
      <c r="F132" s="181"/>
      <c r="G132" s="16">
        <f t="shared" si="87"/>
        <v>0</v>
      </c>
      <c r="H132" s="16">
        <f t="shared" si="62"/>
        <v>0</v>
      </c>
      <c r="I132" s="196"/>
      <c r="J132" s="197">
        <f>IFERROR(ROUND($E132*$I132,2),0)</f>
        <v>0</v>
      </c>
      <c r="K132" s="197">
        <f>IFERROR(ROUND($F132*$I132,2),0)</f>
        <v>0</v>
      </c>
      <c r="L132" s="197">
        <f t="shared" si="88"/>
        <v>0</v>
      </c>
    </row>
    <row r="133" spans="1:12" s="27" customFormat="1" x14ac:dyDescent="0.55000000000000004">
      <c r="A133" s="174"/>
      <c r="B133" s="175" t="s">
        <v>117</v>
      </c>
      <c r="C133" s="175" t="s">
        <v>118</v>
      </c>
      <c r="D133" s="176"/>
      <c r="E133" s="176"/>
      <c r="F133" s="176"/>
      <c r="G133" s="176"/>
      <c r="H133" s="176"/>
      <c r="I133" s="176"/>
      <c r="J133" s="177"/>
      <c r="K133" s="177"/>
      <c r="L133" s="178"/>
    </row>
    <row r="134" spans="1:12" x14ac:dyDescent="0.55000000000000004">
      <c r="A134" s="179" t="s">
        <v>97</v>
      </c>
      <c r="B134" s="179" t="s">
        <v>119</v>
      </c>
      <c r="C134" s="180" t="s">
        <v>118</v>
      </c>
      <c r="D134" s="181"/>
      <c r="E134" s="181">
        <f>D134*$C$8*$C$9</f>
        <v>0</v>
      </c>
      <c r="F134" s="181"/>
      <c r="G134" s="16">
        <f>IFERROR(ROUND(($F134/$E134)-1,3),0)</f>
        <v>0</v>
      </c>
      <c r="H134" s="16">
        <f t="shared" si="62"/>
        <v>0</v>
      </c>
      <c r="I134" s="196"/>
      <c r="J134" s="197">
        <f>IFERROR(ROUND($E134*$I134,2),0)</f>
        <v>0</v>
      </c>
      <c r="K134" s="197">
        <f>IFERROR(ROUND($F134*$I134,2),0)</f>
        <v>0</v>
      </c>
      <c r="L134" s="197">
        <f t="shared" ref="L134:L138" si="89">IFERROR(ROUND(K134-J134,2),0)</f>
        <v>0</v>
      </c>
    </row>
    <row r="135" spans="1:12" s="27" customFormat="1" x14ac:dyDescent="0.55000000000000004">
      <c r="A135" s="179"/>
      <c r="B135" s="179"/>
      <c r="C135" s="180" t="s">
        <v>118</v>
      </c>
      <c r="D135" s="181"/>
      <c r="E135" s="181">
        <f t="shared" ref="E135:E138" si="90">D135*$C$8*$C$9</f>
        <v>0</v>
      </c>
      <c r="F135" s="181"/>
      <c r="G135" s="16">
        <f t="shared" ref="G135:G138" si="91">IFERROR(ROUND(($F135/$E135)-1,3),0)</f>
        <v>0</v>
      </c>
      <c r="H135" s="16">
        <f t="shared" si="62"/>
        <v>0</v>
      </c>
      <c r="I135" s="196"/>
      <c r="J135" s="197">
        <f>IFERROR(ROUND($E135*$I135,2),0)</f>
        <v>0</v>
      </c>
      <c r="K135" s="197">
        <f>IFERROR(ROUND($F135*$I135,2),0)</f>
        <v>0</v>
      </c>
      <c r="L135" s="197">
        <f t="shared" si="89"/>
        <v>0</v>
      </c>
    </row>
    <row r="136" spans="1:12" x14ac:dyDescent="0.55000000000000004">
      <c r="A136" s="179"/>
      <c r="B136" s="179"/>
      <c r="C136" s="180" t="s">
        <v>118</v>
      </c>
      <c r="D136" s="181"/>
      <c r="E136" s="181">
        <f t="shared" si="90"/>
        <v>0</v>
      </c>
      <c r="F136" s="181"/>
      <c r="G136" s="16">
        <f t="shared" si="91"/>
        <v>0</v>
      </c>
      <c r="H136" s="16">
        <f t="shared" si="62"/>
        <v>0</v>
      </c>
      <c r="I136" s="196"/>
      <c r="J136" s="197">
        <f>IFERROR(ROUND($E136*$I136,2),0)</f>
        <v>0</v>
      </c>
      <c r="K136" s="197">
        <f>IFERROR(ROUND($F136*$I136,2),0)</f>
        <v>0</v>
      </c>
      <c r="L136" s="197">
        <f t="shared" si="89"/>
        <v>0</v>
      </c>
    </row>
    <row r="137" spans="1:12" x14ac:dyDescent="0.55000000000000004">
      <c r="A137" s="179"/>
      <c r="B137" s="179"/>
      <c r="C137" s="180" t="s">
        <v>118</v>
      </c>
      <c r="D137" s="181"/>
      <c r="E137" s="181">
        <f t="shared" si="90"/>
        <v>0</v>
      </c>
      <c r="F137" s="181"/>
      <c r="G137" s="16">
        <f t="shared" si="91"/>
        <v>0</v>
      </c>
      <c r="H137" s="16">
        <f t="shared" si="62"/>
        <v>0</v>
      </c>
      <c r="I137" s="196"/>
      <c r="J137" s="197">
        <f>IFERROR(ROUND($E137*$I137,2),0)</f>
        <v>0</v>
      </c>
      <c r="K137" s="197">
        <f>IFERROR(ROUND($F137*$I137,2),0)</f>
        <v>0</v>
      </c>
      <c r="L137" s="197">
        <f t="shared" si="89"/>
        <v>0</v>
      </c>
    </row>
    <row r="138" spans="1:12" x14ac:dyDescent="0.55000000000000004">
      <c r="A138" s="179"/>
      <c r="B138" s="179"/>
      <c r="C138" s="180" t="s">
        <v>118</v>
      </c>
      <c r="D138" s="181"/>
      <c r="E138" s="181">
        <f t="shared" si="90"/>
        <v>0</v>
      </c>
      <c r="F138" s="181"/>
      <c r="G138" s="16">
        <f t="shared" si="91"/>
        <v>0</v>
      </c>
      <c r="H138" s="16">
        <f t="shared" si="62"/>
        <v>0</v>
      </c>
      <c r="I138" s="196"/>
      <c r="J138" s="197">
        <f>IFERROR(ROUND($E138*$I138,2),0)</f>
        <v>0</v>
      </c>
      <c r="K138" s="197">
        <f>IFERROR(ROUND($F138*$I138,2),0)</f>
        <v>0</v>
      </c>
      <c r="L138" s="197">
        <f t="shared" si="89"/>
        <v>0</v>
      </c>
    </row>
    <row r="139" spans="1:12" s="27" customFormat="1" x14ac:dyDescent="0.55000000000000004">
      <c r="A139" s="174"/>
      <c r="B139" s="175" t="s">
        <v>120</v>
      </c>
      <c r="C139" s="175" t="s">
        <v>121</v>
      </c>
      <c r="D139" s="176"/>
      <c r="E139" s="176"/>
      <c r="F139" s="176"/>
      <c r="G139" s="176"/>
      <c r="H139" s="176"/>
      <c r="I139" s="176"/>
      <c r="J139" s="177"/>
      <c r="K139" s="177"/>
      <c r="L139" s="178"/>
    </row>
    <row r="140" spans="1:12" x14ac:dyDescent="0.55000000000000004">
      <c r="A140" s="179" t="s">
        <v>97</v>
      </c>
      <c r="B140" s="184" t="s">
        <v>133</v>
      </c>
      <c r="C140" s="180" t="s">
        <v>121</v>
      </c>
      <c r="D140" s="181"/>
      <c r="E140" s="181">
        <f>D140*$C$8*$C$9</f>
        <v>0</v>
      </c>
      <c r="F140" s="181"/>
      <c r="G140" s="16">
        <f>IFERROR(ROUND(($F140/$E140)-1,3),0)</f>
        <v>0</v>
      </c>
      <c r="H140" s="16">
        <f t="shared" si="62"/>
        <v>0</v>
      </c>
      <c r="I140" s="196"/>
      <c r="J140" s="197">
        <f>IFERROR(ROUND($E140*$I140,2),0)</f>
        <v>0</v>
      </c>
      <c r="K140" s="197">
        <f>IFERROR(ROUND($F140*$I140,2),0)</f>
        <v>0</v>
      </c>
      <c r="L140" s="197">
        <f t="shared" ref="L140:L144" si="92">IFERROR(ROUND(K140-J140,2),0)</f>
        <v>0</v>
      </c>
    </row>
    <row r="141" spans="1:12" s="27" customFormat="1" x14ac:dyDescent="0.55000000000000004">
      <c r="A141" s="179"/>
      <c r="B141" s="179"/>
      <c r="C141" s="180" t="s">
        <v>121</v>
      </c>
      <c r="D141" s="181"/>
      <c r="E141" s="181">
        <f t="shared" ref="E141:E144" si="93">D141*$C$8*$C$9</f>
        <v>0</v>
      </c>
      <c r="F141" s="181"/>
      <c r="G141" s="16">
        <f t="shared" ref="G141:G144" si="94">IFERROR(ROUND(($F141/$E141)-1,3),0)</f>
        <v>0</v>
      </c>
      <c r="H141" s="16">
        <f t="shared" si="62"/>
        <v>0</v>
      </c>
      <c r="I141" s="196"/>
      <c r="J141" s="197">
        <f>IFERROR(ROUND($E141*$I141,2),0)</f>
        <v>0</v>
      </c>
      <c r="K141" s="197">
        <f>IFERROR(ROUND($F141*$I141,2),0)</f>
        <v>0</v>
      </c>
      <c r="L141" s="197">
        <f t="shared" si="92"/>
        <v>0</v>
      </c>
    </row>
    <row r="142" spans="1:12" x14ac:dyDescent="0.55000000000000004">
      <c r="A142" s="179"/>
      <c r="B142" s="179"/>
      <c r="C142" s="180" t="s">
        <v>121</v>
      </c>
      <c r="D142" s="181"/>
      <c r="E142" s="181">
        <f t="shared" si="93"/>
        <v>0</v>
      </c>
      <c r="F142" s="181"/>
      <c r="G142" s="16">
        <f t="shared" si="94"/>
        <v>0</v>
      </c>
      <c r="H142" s="16">
        <f t="shared" si="62"/>
        <v>0</v>
      </c>
      <c r="I142" s="196"/>
      <c r="J142" s="197">
        <f>IFERROR(ROUND($E142*$I142,2),0)</f>
        <v>0</v>
      </c>
      <c r="K142" s="197">
        <f>IFERROR(ROUND($F142*$I142,2),0)</f>
        <v>0</v>
      </c>
      <c r="L142" s="197">
        <f t="shared" si="92"/>
        <v>0</v>
      </c>
    </row>
    <row r="143" spans="1:12" x14ac:dyDescent="0.55000000000000004">
      <c r="A143" s="179"/>
      <c r="B143" s="179"/>
      <c r="C143" s="180" t="s">
        <v>121</v>
      </c>
      <c r="D143" s="181"/>
      <c r="E143" s="181">
        <f t="shared" si="93"/>
        <v>0</v>
      </c>
      <c r="F143" s="181"/>
      <c r="G143" s="16">
        <f t="shared" si="94"/>
        <v>0</v>
      </c>
      <c r="H143" s="16">
        <f t="shared" si="62"/>
        <v>0</v>
      </c>
      <c r="I143" s="196"/>
      <c r="J143" s="197">
        <f>IFERROR(ROUND($E143*$I143,2),0)</f>
        <v>0</v>
      </c>
      <c r="K143" s="197">
        <f>IFERROR(ROUND($F143*$I143,2),0)</f>
        <v>0</v>
      </c>
      <c r="L143" s="197">
        <f t="shared" si="92"/>
        <v>0</v>
      </c>
    </row>
    <row r="144" spans="1:12" x14ac:dyDescent="0.55000000000000004">
      <c r="A144" s="179"/>
      <c r="B144" s="179"/>
      <c r="C144" s="180" t="s">
        <v>121</v>
      </c>
      <c r="D144" s="181"/>
      <c r="E144" s="181">
        <f t="shared" si="93"/>
        <v>0</v>
      </c>
      <c r="F144" s="181"/>
      <c r="G144" s="16">
        <f t="shared" si="94"/>
        <v>0</v>
      </c>
      <c r="H144" s="16">
        <f t="shared" si="62"/>
        <v>0</v>
      </c>
      <c r="I144" s="196"/>
      <c r="J144" s="197">
        <f>IFERROR(ROUND($E144*$I144,2),0)</f>
        <v>0</v>
      </c>
      <c r="K144" s="197">
        <f>IFERROR(ROUND($F144*$I144,2),0)</f>
        <v>0</v>
      </c>
      <c r="L144" s="197">
        <f t="shared" si="92"/>
        <v>0</v>
      </c>
    </row>
    <row r="145" spans="1:16" s="27" customFormat="1" ht="28.8" x14ac:dyDescent="0.55000000000000004">
      <c r="A145" s="174"/>
      <c r="B145" s="175" t="s">
        <v>123</v>
      </c>
      <c r="C145" s="175" t="s">
        <v>124</v>
      </c>
      <c r="D145" s="176"/>
      <c r="E145" s="176"/>
      <c r="F145" s="176"/>
      <c r="G145" s="176"/>
      <c r="H145" s="176"/>
      <c r="I145" s="176"/>
      <c r="J145" s="177"/>
      <c r="K145" s="177"/>
      <c r="L145" s="178"/>
    </row>
    <row r="146" spans="1:16" x14ac:dyDescent="0.55000000000000004">
      <c r="A146" s="179" t="s">
        <v>97</v>
      </c>
      <c r="B146" s="179" t="s">
        <v>125</v>
      </c>
      <c r="C146" s="180" t="s">
        <v>124</v>
      </c>
      <c r="D146" s="181"/>
      <c r="E146" s="181">
        <f>D146*$C$8*$C$9</f>
        <v>0</v>
      </c>
      <c r="F146" s="181"/>
      <c r="G146" s="16">
        <f>IFERROR(ROUND(($F146/$E146)-1,3),0)</f>
        <v>0</v>
      </c>
      <c r="H146" s="16">
        <f t="shared" si="62"/>
        <v>0</v>
      </c>
      <c r="I146" s="196"/>
      <c r="J146" s="197">
        <f>IFERROR(ROUND($E146*$I146,2),0)</f>
        <v>0</v>
      </c>
      <c r="K146" s="197">
        <f>IFERROR(ROUND($F146*$I146,2),0)</f>
        <v>0</v>
      </c>
      <c r="L146" s="197">
        <f t="shared" ref="L146:L150" si="95">IFERROR(ROUND(K146-J146,2),0)</f>
        <v>0</v>
      </c>
    </row>
    <row r="147" spans="1:16" s="27" customFormat="1" x14ac:dyDescent="0.55000000000000004">
      <c r="A147" s="179"/>
      <c r="B147" s="179"/>
      <c r="C147" s="180" t="s">
        <v>124</v>
      </c>
      <c r="D147" s="181"/>
      <c r="E147" s="181">
        <f t="shared" ref="E147:E150" si="96">D147*$C$8*$C$9</f>
        <v>0</v>
      </c>
      <c r="F147" s="181"/>
      <c r="G147" s="16">
        <f t="shared" ref="G147:G150" si="97">IFERROR(ROUND(($F147/$E147)-1,3),0)</f>
        <v>0</v>
      </c>
      <c r="H147" s="16">
        <f t="shared" si="62"/>
        <v>0</v>
      </c>
      <c r="I147" s="196"/>
      <c r="J147" s="197">
        <f>IFERROR(ROUND($E147*$I147,2),0)</f>
        <v>0</v>
      </c>
      <c r="K147" s="197">
        <f>IFERROR(ROUND($F147*$I147,2),0)</f>
        <v>0</v>
      </c>
      <c r="L147" s="197">
        <f t="shared" si="95"/>
        <v>0</v>
      </c>
    </row>
    <row r="148" spans="1:16" x14ac:dyDescent="0.55000000000000004">
      <c r="A148" s="179"/>
      <c r="B148" s="179"/>
      <c r="C148" s="180" t="s">
        <v>124</v>
      </c>
      <c r="D148" s="181"/>
      <c r="E148" s="181">
        <f t="shared" si="96"/>
        <v>0</v>
      </c>
      <c r="F148" s="181"/>
      <c r="G148" s="16">
        <f t="shared" si="97"/>
        <v>0</v>
      </c>
      <c r="H148" s="16">
        <f t="shared" si="62"/>
        <v>0</v>
      </c>
      <c r="I148" s="196"/>
      <c r="J148" s="197">
        <f>IFERROR(ROUND($E148*$I148,2),0)</f>
        <v>0</v>
      </c>
      <c r="K148" s="197">
        <f>IFERROR(ROUND($F148*$I148,2),0)</f>
        <v>0</v>
      </c>
      <c r="L148" s="197">
        <f t="shared" si="95"/>
        <v>0</v>
      </c>
    </row>
    <row r="149" spans="1:16" x14ac:dyDescent="0.55000000000000004">
      <c r="A149" s="179"/>
      <c r="B149" s="179"/>
      <c r="C149" s="180" t="s">
        <v>124</v>
      </c>
      <c r="D149" s="181"/>
      <c r="E149" s="181">
        <f t="shared" si="96"/>
        <v>0</v>
      </c>
      <c r="F149" s="181"/>
      <c r="G149" s="16">
        <f t="shared" si="97"/>
        <v>0</v>
      </c>
      <c r="H149" s="16">
        <f t="shared" si="62"/>
        <v>0</v>
      </c>
      <c r="I149" s="196"/>
      <c r="J149" s="197">
        <f>IFERROR(ROUND($E149*$I149,2),0)</f>
        <v>0</v>
      </c>
      <c r="K149" s="197">
        <f>IFERROR(ROUND($F149*$I149,2),0)</f>
        <v>0</v>
      </c>
      <c r="L149" s="197">
        <f t="shared" si="95"/>
        <v>0</v>
      </c>
    </row>
    <row r="150" spans="1:16" x14ac:dyDescent="0.55000000000000004">
      <c r="A150" s="179"/>
      <c r="B150" s="179"/>
      <c r="C150" s="180" t="s">
        <v>124</v>
      </c>
      <c r="D150" s="181"/>
      <c r="E150" s="181">
        <f t="shared" si="96"/>
        <v>0</v>
      </c>
      <c r="F150" s="181"/>
      <c r="G150" s="16">
        <f t="shared" si="97"/>
        <v>0</v>
      </c>
      <c r="H150" s="16">
        <f t="shared" si="62"/>
        <v>0</v>
      </c>
      <c r="I150" s="196"/>
      <c r="J150" s="197">
        <f>IFERROR(ROUND($E150*$I150,2),0)</f>
        <v>0</v>
      </c>
      <c r="K150" s="197">
        <f>IFERROR(ROUND($F150*$I150,2),0)</f>
        <v>0</v>
      </c>
      <c r="L150" s="197">
        <f t="shared" si="95"/>
        <v>0</v>
      </c>
    </row>
    <row r="151" spans="1:16" s="27" customFormat="1" x14ac:dyDescent="0.55000000000000004">
      <c r="A151" s="26"/>
      <c r="C151" s="17"/>
      <c r="D151" s="3"/>
      <c r="E151" s="3"/>
      <c r="F151" s="3"/>
      <c r="G151" s="3"/>
      <c r="H151" s="3"/>
      <c r="I151" s="3"/>
      <c r="J151" s="4"/>
      <c r="K151" s="4"/>
      <c r="L151" s="4"/>
      <c r="M151" s="5"/>
      <c r="N151" s="14"/>
      <c r="O151" s="14"/>
      <c r="P151" s="183"/>
    </row>
  </sheetData>
  <mergeCells count="11">
    <mergeCell ref="A10:B10"/>
    <mergeCell ref="A13:O14"/>
    <mergeCell ref="L16:N16"/>
    <mergeCell ref="A84:L85"/>
    <mergeCell ref="J87:L87"/>
    <mergeCell ref="A9:B9"/>
    <mergeCell ref="D1:E1"/>
    <mergeCell ref="A2:B2"/>
    <mergeCell ref="A6:B6"/>
    <mergeCell ref="A7:B7"/>
    <mergeCell ref="A8:B8"/>
  </mergeCells>
  <conditionalFormatting sqref="D11">
    <cfRule type="expression" dxfId="9" priority="1">
      <formula>$D11="Fail"</formula>
    </cfRule>
    <cfRule type="expression" dxfId="8" priority="2">
      <formula>$D11="Pass"</formula>
    </cfRule>
  </conditionalFormatting>
  <pageMargins left="0.25" right="0.25" top="0.75" bottom="0.75" header="0.3" footer="0.3"/>
  <pageSetup paperSize="5"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7F4A-3E49-437D-97EE-12D2E483318D}">
  <sheetPr>
    <pageSetUpPr fitToPage="1"/>
  </sheetPr>
  <dimension ref="A1:O151"/>
  <sheetViews>
    <sheetView zoomScale="70" zoomScaleNormal="70" workbookViewId="0"/>
  </sheetViews>
  <sheetFormatPr defaultColWidth="9.15625" defaultRowHeight="14.4" x14ac:dyDescent="0.55000000000000004"/>
  <cols>
    <col min="1" max="1" width="59" style="26" bestFit="1" customWidth="1"/>
    <col min="2" max="2" width="43.68359375" style="27" customWidth="1"/>
    <col min="3" max="3" width="15.68359375" style="17" customWidth="1"/>
    <col min="4" max="8" width="15.68359375" style="3" customWidth="1"/>
    <col min="9" max="11" width="15.68359375" style="4" customWidth="1"/>
    <col min="12" max="12" width="15.68359375" style="5" customWidth="1"/>
    <col min="13" max="14" width="18.26171875" style="14" customWidth="1"/>
    <col min="15" max="15" width="24" style="14" customWidth="1"/>
    <col min="16" max="16384" width="9.15625" style="14"/>
  </cols>
  <sheetData>
    <row r="1" spans="1:15" ht="20.399999999999999" x14ac:dyDescent="0.75">
      <c r="A1" s="135" t="s">
        <v>32</v>
      </c>
      <c r="B1"/>
      <c r="C1" s="14"/>
      <c r="D1" s="365"/>
      <c r="E1" s="365"/>
      <c r="F1" s="268"/>
      <c r="G1" s="14"/>
      <c r="H1" s="14"/>
    </row>
    <row r="2" spans="1:15" x14ac:dyDescent="0.55000000000000004">
      <c r="A2" s="366" t="s">
        <v>33</v>
      </c>
      <c r="B2" s="366"/>
      <c r="C2" s="14"/>
      <c r="D2" s="14"/>
      <c r="F2" s="6"/>
      <c r="G2" s="14"/>
      <c r="H2" s="14"/>
    </row>
    <row r="3" spans="1:15" x14ac:dyDescent="0.55000000000000004">
      <c r="A3" s="135" t="s">
        <v>34</v>
      </c>
      <c r="B3"/>
      <c r="C3" s="14"/>
      <c r="D3" s="14"/>
      <c r="F3" s="6"/>
      <c r="G3" s="14"/>
      <c r="H3" s="14"/>
    </row>
    <row r="4" spans="1:15" x14ac:dyDescent="0.55000000000000004">
      <c r="A4" s="135"/>
      <c r="C4" s="14"/>
      <c r="D4" s="14"/>
      <c r="F4" s="6"/>
      <c r="G4" s="14"/>
      <c r="H4" s="14"/>
      <c r="I4" s="14"/>
      <c r="J4" s="14"/>
      <c r="K4" s="14"/>
      <c r="L4" s="14"/>
    </row>
    <row r="5" spans="1:15" x14ac:dyDescent="0.55000000000000004">
      <c r="A5" s="50"/>
      <c r="C5" s="14"/>
      <c r="D5" s="14"/>
      <c r="F5" s="6"/>
      <c r="G5" s="269"/>
      <c r="H5" s="270"/>
      <c r="I5" s="14"/>
      <c r="J5" s="14"/>
      <c r="K5" s="14"/>
      <c r="L5" s="14"/>
    </row>
    <row r="6" spans="1:15" x14ac:dyDescent="0.55000000000000004">
      <c r="A6" s="364" t="s">
        <v>79</v>
      </c>
      <c r="B6" s="364"/>
      <c r="C6" s="271" t="s">
        <v>73</v>
      </c>
      <c r="D6" s="14"/>
      <c r="F6" s="6"/>
      <c r="G6" s="269"/>
      <c r="H6" s="270"/>
      <c r="I6" s="14"/>
      <c r="J6" s="14"/>
      <c r="K6" s="14"/>
      <c r="L6" s="14"/>
    </row>
    <row r="7" spans="1:15" x14ac:dyDescent="0.55000000000000004">
      <c r="A7" s="364" t="s">
        <v>80</v>
      </c>
      <c r="B7" s="364"/>
      <c r="C7" s="272" t="s">
        <v>74</v>
      </c>
      <c r="D7" s="168"/>
      <c r="E7" s="168"/>
      <c r="F7" s="168"/>
      <c r="G7" s="269"/>
      <c r="H7" s="270"/>
      <c r="I7" s="14"/>
      <c r="J7" s="14"/>
      <c r="K7" s="14"/>
      <c r="L7" s="14"/>
    </row>
    <row r="8" spans="1:15" x14ac:dyDescent="0.55000000000000004">
      <c r="A8" s="364" t="s">
        <v>81</v>
      </c>
      <c r="B8" s="364"/>
      <c r="C8" s="290">
        <f>'Factor Dev'!G17</f>
        <v>1</v>
      </c>
      <c r="D8" s="168"/>
      <c r="E8" s="168"/>
      <c r="F8" s="168"/>
      <c r="G8" s="269"/>
      <c r="H8" s="270"/>
      <c r="I8" s="14"/>
      <c r="J8" s="14"/>
      <c r="K8" s="14"/>
      <c r="L8" s="14"/>
    </row>
    <row r="9" spans="1:15" x14ac:dyDescent="0.55000000000000004">
      <c r="A9" s="364" t="s">
        <v>82</v>
      </c>
      <c r="B9" s="364"/>
      <c r="C9" s="290">
        <f>'Factor Dev'!K17</f>
        <v>1</v>
      </c>
      <c r="D9" s="168"/>
      <c r="E9" s="168"/>
      <c r="F9" s="168"/>
      <c r="G9" s="269"/>
      <c r="H9" s="270"/>
      <c r="I9" s="14"/>
      <c r="J9" s="14"/>
      <c r="K9" s="14"/>
      <c r="L9" s="14"/>
    </row>
    <row r="10" spans="1:15" x14ac:dyDescent="0.55000000000000004">
      <c r="A10" s="367" t="s">
        <v>83</v>
      </c>
      <c r="B10" s="367"/>
      <c r="C10" s="291"/>
      <c r="F10" s="6"/>
      <c r="G10" s="51"/>
      <c r="I10" s="13"/>
      <c r="J10" s="13"/>
      <c r="K10" s="13"/>
      <c r="M10" s="51"/>
      <c r="N10" s="51"/>
      <c r="O10" s="51"/>
    </row>
    <row r="11" spans="1:15" x14ac:dyDescent="0.55000000000000004">
      <c r="A11" s="274"/>
      <c r="B11" s="10"/>
      <c r="C11" s="11"/>
      <c r="D11" s="139"/>
      <c r="E11" s="12"/>
      <c r="F11" s="12"/>
      <c r="G11" s="12"/>
      <c r="H11" s="12"/>
      <c r="I11" s="12"/>
      <c r="J11" s="12"/>
      <c r="K11" s="276"/>
      <c r="L11" s="276"/>
      <c r="M11" s="276"/>
    </row>
    <row r="12" spans="1:15" ht="14.7" thickBot="1" x14ac:dyDescent="0.6">
      <c r="A12" s="275"/>
      <c r="C12" s="21"/>
      <c r="F12" s="6"/>
      <c r="G12" s="51"/>
      <c r="I12" s="13"/>
      <c r="J12" s="13"/>
      <c r="K12" s="13"/>
      <c r="M12" s="51"/>
      <c r="N12" s="51"/>
      <c r="O12" s="51"/>
    </row>
    <row r="13" spans="1:15" ht="14.5" customHeight="1" x14ac:dyDescent="0.55000000000000004">
      <c r="A13" s="368" t="s">
        <v>84</v>
      </c>
      <c r="B13" s="369"/>
      <c r="C13" s="369"/>
      <c r="D13" s="369"/>
      <c r="E13" s="369"/>
      <c r="F13" s="369"/>
      <c r="G13" s="369"/>
      <c r="H13" s="369"/>
      <c r="I13" s="369"/>
      <c r="J13" s="369"/>
      <c r="K13" s="369"/>
      <c r="L13" s="369"/>
      <c r="M13" s="369"/>
      <c r="N13" s="370"/>
      <c r="O13" s="201"/>
    </row>
    <row r="14" spans="1:15" ht="14.5" customHeight="1" thickBot="1" x14ac:dyDescent="0.6">
      <c r="A14" s="371"/>
      <c r="B14" s="372"/>
      <c r="C14" s="372"/>
      <c r="D14" s="372"/>
      <c r="E14" s="372"/>
      <c r="F14" s="372"/>
      <c r="G14" s="372"/>
      <c r="H14" s="372"/>
      <c r="I14" s="372"/>
      <c r="J14" s="372"/>
      <c r="K14" s="372"/>
      <c r="L14" s="372"/>
      <c r="M14" s="372"/>
      <c r="N14" s="373"/>
      <c r="O14" s="201"/>
    </row>
    <row r="15" spans="1:15" ht="14.5" customHeight="1" x14ac:dyDescent="0.55000000000000004">
      <c r="A15" s="167"/>
      <c r="B15" s="167"/>
      <c r="C15" s="167"/>
      <c r="D15" s="167"/>
      <c r="E15" s="167"/>
      <c r="F15" s="167"/>
      <c r="G15" s="167"/>
      <c r="H15" s="167"/>
      <c r="I15" s="167"/>
      <c r="J15" s="167"/>
      <c r="K15" s="167"/>
      <c r="L15" s="167"/>
      <c r="M15" s="167"/>
      <c r="N15" s="167"/>
      <c r="O15" s="167"/>
    </row>
    <row r="16" spans="1:15" ht="15.6" x14ac:dyDescent="0.6">
      <c r="A16" s="14"/>
      <c r="B16" s="14"/>
      <c r="C16"/>
      <c r="D16" s="168"/>
      <c r="E16" s="168"/>
      <c r="F16" s="168"/>
      <c r="G16" s="169"/>
      <c r="H16" s="169"/>
      <c r="I16" s="169"/>
      <c r="J16" s="14"/>
      <c r="K16" s="374" t="s">
        <v>85</v>
      </c>
      <c r="L16" s="375"/>
      <c r="M16" s="376"/>
      <c r="O16" s="170"/>
    </row>
    <row r="17" spans="1:15" s="173" customFormat="1" ht="297.75" customHeight="1" x14ac:dyDescent="0.55000000000000004">
      <c r="A17" s="171" t="s">
        <v>86</v>
      </c>
      <c r="B17" s="171" t="s">
        <v>87</v>
      </c>
      <c r="C17" s="292" t="s">
        <v>88</v>
      </c>
      <c r="D17" s="172" t="str">
        <f>CONCATENATE("Rate at Last PCI Update",CHAR(10)," (",'Factor Dev'!$S$19,")")</f>
        <v>Rate at Last PCI Update
 (October 1, 2023)</v>
      </c>
      <c r="E17" s="172" t="str">
        <f>CONCATENATE("Current Rate",CHAR(10)," (",'Factor Dev'!$Z$19,")")</f>
        <v>Current Rate
 (July 1, 2024)</v>
      </c>
      <c r="F17" s="172" t="str">
        <f>CONCATENATE("Proposed Rate",CHAR(10)," (",'Factor Dev'!$AA$19,")")</f>
        <v>Proposed Rate
 (July 2, 2024)</v>
      </c>
      <c r="G17" s="172" t="s">
        <v>91</v>
      </c>
      <c r="H17" s="293" t="str">
        <f>CONCATENATE("Average Monthly Demand Over Base Period",CHAR(10),"(Calendar Year ",DemandYear,")")</f>
        <v>Average Monthly Demand Over Base Period
(Calendar Year 2023)</v>
      </c>
      <c r="I17" s="29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7" s="29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7" s="294" t="str">
        <f>CONCATENATE("Rate at Last PCI Update",CHAR(10)," (",'Factor Dev'!$S$19,")")</f>
        <v>Rate at Last PCI Update
 (October 1, 2023)</v>
      </c>
      <c r="L17" s="294" t="str">
        <f>CONCATENATE("Current Rate",CHAR(10)," (",'Factor Dev'!$Z$19,")")</f>
        <v>Current Rate
 (July 1, 2024)</v>
      </c>
      <c r="M17" s="294" t="str">
        <f>CONCATENATE("Proposed Rate",CHAR(10)," (",'Factor Dev'!$AA$19,")")</f>
        <v>Proposed Rate
 (July 2, 2024)</v>
      </c>
      <c r="N17" s="172" t="s">
        <v>94</v>
      </c>
      <c r="O17" s="170"/>
    </row>
    <row r="18" spans="1:15" s="27" customFormat="1" x14ac:dyDescent="0.55000000000000004">
      <c r="A18" s="295"/>
      <c r="B18" s="296"/>
      <c r="C18" s="171" t="str">
        <f>"Col "&amp;COLUMN(C19)+59</f>
        <v>Col 62</v>
      </c>
      <c r="D18" s="171" t="str">
        <f t="shared" ref="D18:N18" si="0">"Col "&amp;COLUMN(D19)+59</f>
        <v>Col 63</v>
      </c>
      <c r="E18" s="171" t="str">
        <f t="shared" si="0"/>
        <v>Col 64</v>
      </c>
      <c r="F18" s="171" t="str">
        <f t="shared" si="0"/>
        <v>Col 65</v>
      </c>
      <c r="G18" s="171" t="str">
        <f t="shared" si="0"/>
        <v>Col 66</v>
      </c>
      <c r="H18" s="171" t="str">
        <f t="shared" si="0"/>
        <v>Col 67</v>
      </c>
      <c r="I18" s="171" t="str">
        <f t="shared" si="0"/>
        <v>Col 68</v>
      </c>
      <c r="J18" s="171" t="str">
        <f t="shared" si="0"/>
        <v>Col 69</v>
      </c>
      <c r="K18" s="171" t="str">
        <f t="shared" si="0"/>
        <v>Col 70</v>
      </c>
      <c r="L18" s="171" t="str">
        <f t="shared" si="0"/>
        <v>Col 71</v>
      </c>
      <c r="M18" s="171" t="str">
        <f t="shared" si="0"/>
        <v>Col 72</v>
      </c>
      <c r="N18" s="171" t="str">
        <f t="shared" si="0"/>
        <v>Col 73</v>
      </c>
      <c r="O18" s="170"/>
    </row>
    <row r="19" spans="1:15" s="27" customFormat="1" ht="171" customHeight="1" x14ac:dyDescent="0.55000000000000004">
      <c r="A19" s="171" t="s">
        <v>67</v>
      </c>
      <c r="B19" s="171" t="s">
        <v>67</v>
      </c>
      <c r="C19" s="15" t="s">
        <v>67</v>
      </c>
      <c r="D19" s="171" t="s">
        <v>67</v>
      </c>
      <c r="E19" s="297" t="s">
        <v>67</v>
      </c>
      <c r="F19" s="297" t="s">
        <v>67</v>
      </c>
      <c r="G19" s="297" t="str">
        <f>"("&amp;F18&amp;" / "&amp;E18&amp;")"&amp;" - 1"</f>
        <v>(Col 65 / Col 64) - 1</v>
      </c>
      <c r="H19" s="15" t="s">
        <v>67</v>
      </c>
      <c r="I19" s="15" t="s">
        <v>67</v>
      </c>
      <c r="J19" s="15" t="s">
        <v>67</v>
      </c>
      <c r="K19" s="297" t="str">
        <f>"(("&amp;D18&amp;" x "&amp;H18&amp;") + ("&amp;D18&amp;" x "&amp;I18&amp;" x Appropriate Discount) + ("&amp;D18&amp;" x "&amp;J18&amp;" x Appropriate Discount))"</f>
        <v>((Col 63 x Col 67) + (Col 63 x Col 68 x Appropriate Discount) + (Col 63 x Col 69 x Appropriate Discount))</v>
      </c>
      <c r="L19" s="297" t="str">
        <f>"(("&amp;E18&amp;" x "&amp;H18&amp;") + ("&amp;E18&amp;" x "&amp;I18&amp;" x Appropriate Discount) + ("&amp;E18&amp;" x "&amp;J18&amp;" x Appropriate Discount))"</f>
        <v>((Col 64 x Col 67) + (Col 64 x Col 68 x Appropriate Discount) + (Col 64 x Col 69 x Appropriate Discount))</v>
      </c>
      <c r="M19" s="297" t="str">
        <f>"(("&amp;F18&amp;" x "&amp;H18&amp;") + ("&amp;F18&amp;" x "&amp;I18&amp;" x Appropriate Discount) + ("&amp;F18&amp;" x "&amp;J18&amp;" x Appropriate Discount))"</f>
        <v>((Col 65 x Col 67) + (Col 65 x Col 68 x Appropriate Discount) + (Col 65 x Col 69 x Appropriate Discount))</v>
      </c>
      <c r="N19" s="297" t="str">
        <f>M18&amp;" - "&amp;L18</f>
        <v>Col 72 - Col 71</v>
      </c>
      <c r="O19" s="170"/>
    </row>
    <row r="20" spans="1:15" s="27" customFormat="1" x14ac:dyDescent="0.55000000000000004">
      <c r="A20" s="174"/>
      <c r="B20" s="175" t="s">
        <v>95</v>
      </c>
      <c r="C20" s="175" t="s">
        <v>96</v>
      </c>
      <c r="D20" s="176"/>
      <c r="E20" s="176"/>
      <c r="F20" s="176"/>
      <c r="G20" s="176"/>
      <c r="H20" s="177"/>
      <c r="I20" s="177"/>
      <c r="J20" s="177"/>
      <c r="K20" s="178"/>
      <c r="L20" s="178"/>
      <c r="M20" s="178"/>
      <c r="N20" s="178"/>
      <c r="O20" s="170"/>
    </row>
    <row r="21" spans="1:15" s="27" customFormat="1" x14ac:dyDescent="0.55000000000000004">
      <c r="A21" s="179" t="s">
        <v>97</v>
      </c>
      <c r="B21" s="179" t="s">
        <v>98</v>
      </c>
      <c r="C21" s="180" t="s">
        <v>96</v>
      </c>
      <c r="D21" s="181"/>
      <c r="E21" s="181"/>
      <c r="F21" s="181"/>
      <c r="G21" s="16">
        <f>IFERROR(ROUND(($F21/$E21)-1,3),0)</f>
        <v>0</v>
      </c>
      <c r="H21" s="182"/>
      <c r="I21" s="182"/>
      <c r="J21" s="182"/>
      <c r="K21" s="181">
        <f>IFERROR(ROUND((($D21*$H21)+($D21*$I21*0.8)+($D21*$J21*0.9)),2),0)</f>
        <v>0</v>
      </c>
      <c r="L21" s="181">
        <f>IFERROR(ROUND((($E21*$H21)+($E21*$I21*0.8)+($E21*$J21*0.9)),2),0)</f>
        <v>0</v>
      </c>
      <c r="M21" s="181">
        <f>IFERROR(ROUND((($F21*$H21)+($F21*$I21*0.8)+($F21*$J21*0.9)),2),0)</f>
        <v>0</v>
      </c>
      <c r="N21" s="181">
        <f>IFERROR(ROUND($M21-$L21,2),0)</f>
        <v>0</v>
      </c>
      <c r="O21" s="183"/>
    </row>
    <row r="22" spans="1:15" s="27" customFormat="1" x14ac:dyDescent="0.55000000000000004">
      <c r="A22" s="179"/>
      <c r="B22" s="179"/>
      <c r="C22" s="180" t="s">
        <v>96</v>
      </c>
      <c r="D22" s="181"/>
      <c r="E22" s="181"/>
      <c r="F22" s="181"/>
      <c r="G22" s="16">
        <f t="shared" ref="G22:G25" si="1">IFERROR(ROUND(($F22/$E22)-1,3),0)</f>
        <v>0</v>
      </c>
      <c r="H22" s="182"/>
      <c r="I22" s="182"/>
      <c r="J22" s="182"/>
      <c r="K22" s="181">
        <f t="shared" ref="K22:K25" si="2">IFERROR(ROUND((($D22*$H22)+($D22*$I22*0.8)+($D22*$J22*0.9)),2),0)</f>
        <v>0</v>
      </c>
      <c r="L22" s="181">
        <f t="shared" ref="L22:L25" si="3">IFERROR(ROUND((($E22*$H22)+($E22*$I22*0.8)+($E22*$J22*0.9)),2),0)</f>
        <v>0</v>
      </c>
      <c r="M22" s="181">
        <f t="shared" ref="M22:M25" si="4">IFERROR(ROUND((($F22*$H22)+($F22*$I22*0.8)+($F22*$J22*0.9)),2),0)</f>
        <v>0</v>
      </c>
      <c r="N22" s="181">
        <f t="shared" ref="N22:N25" si="5">IFERROR(ROUND($M22-$L22,2),0)</f>
        <v>0</v>
      </c>
      <c r="O22" s="183"/>
    </row>
    <row r="23" spans="1:15" s="27" customFormat="1" x14ac:dyDescent="0.55000000000000004">
      <c r="A23" s="179"/>
      <c r="B23" s="179"/>
      <c r="C23" s="180" t="s">
        <v>96</v>
      </c>
      <c r="D23" s="181"/>
      <c r="E23" s="181"/>
      <c r="F23" s="181"/>
      <c r="G23" s="16">
        <f t="shared" si="1"/>
        <v>0</v>
      </c>
      <c r="H23" s="182"/>
      <c r="I23" s="182"/>
      <c r="J23" s="182"/>
      <c r="K23" s="181">
        <f t="shared" si="2"/>
        <v>0</v>
      </c>
      <c r="L23" s="181">
        <f t="shared" si="3"/>
        <v>0</v>
      </c>
      <c r="M23" s="181">
        <f t="shared" si="4"/>
        <v>0</v>
      </c>
      <c r="N23" s="181">
        <f t="shared" si="5"/>
        <v>0</v>
      </c>
      <c r="O23" s="183"/>
    </row>
    <row r="24" spans="1:15" s="27" customFormat="1" x14ac:dyDescent="0.55000000000000004">
      <c r="A24" s="179"/>
      <c r="B24" s="179"/>
      <c r="C24" s="180" t="s">
        <v>96</v>
      </c>
      <c r="D24" s="181"/>
      <c r="E24" s="181"/>
      <c r="F24" s="181"/>
      <c r="G24" s="16">
        <f t="shared" si="1"/>
        <v>0</v>
      </c>
      <c r="H24" s="182"/>
      <c r="I24" s="182"/>
      <c r="J24" s="182"/>
      <c r="K24" s="181">
        <f t="shared" si="2"/>
        <v>0</v>
      </c>
      <c r="L24" s="181">
        <f t="shared" si="3"/>
        <v>0</v>
      </c>
      <c r="M24" s="181">
        <f t="shared" si="4"/>
        <v>0</v>
      </c>
      <c r="N24" s="181">
        <f t="shared" si="5"/>
        <v>0</v>
      </c>
      <c r="O24" s="183"/>
    </row>
    <row r="25" spans="1:15" s="27" customFormat="1" x14ac:dyDescent="0.55000000000000004">
      <c r="A25" s="179"/>
      <c r="B25" s="179"/>
      <c r="C25" s="180" t="s">
        <v>96</v>
      </c>
      <c r="D25" s="181"/>
      <c r="E25" s="181"/>
      <c r="F25" s="181"/>
      <c r="G25" s="16">
        <f t="shared" si="1"/>
        <v>0</v>
      </c>
      <c r="H25" s="182"/>
      <c r="I25" s="182"/>
      <c r="J25" s="182"/>
      <c r="K25" s="181">
        <f t="shared" si="2"/>
        <v>0</v>
      </c>
      <c r="L25" s="181">
        <f t="shared" si="3"/>
        <v>0</v>
      </c>
      <c r="M25" s="181">
        <f t="shared" si="4"/>
        <v>0</v>
      </c>
      <c r="N25" s="181">
        <f t="shared" si="5"/>
        <v>0</v>
      </c>
      <c r="O25" s="183"/>
    </row>
    <row r="26" spans="1:15" s="27" customFormat="1" x14ac:dyDescent="0.55000000000000004">
      <c r="A26" s="174"/>
      <c r="B26" s="175" t="s">
        <v>99</v>
      </c>
      <c r="C26" s="175" t="s">
        <v>100</v>
      </c>
      <c r="D26" s="176"/>
      <c r="E26" s="176"/>
      <c r="F26" s="176"/>
      <c r="G26" s="176"/>
      <c r="H26" s="177"/>
      <c r="I26" s="177"/>
      <c r="J26" s="177"/>
      <c r="K26" s="178"/>
      <c r="L26" s="178"/>
      <c r="M26" s="178"/>
      <c r="N26" s="178"/>
      <c r="O26" s="183"/>
    </row>
    <row r="27" spans="1:15" s="27" customFormat="1" x14ac:dyDescent="0.55000000000000004">
      <c r="A27" s="179" t="s">
        <v>97</v>
      </c>
      <c r="B27" s="184" t="s">
        <v>101</v>
      </c>
      <c r="C27" s="180" t="s">
        <v>100</v>
      </c>
      <c r="D27" s="181"/>
      <c r="E27" s="181"/>
      <c r="F27" s="181"/>
      <c r="G27" s="16">
        <f>IFERROR(ROUND(($F27/$E27)-1,3),0)</f>
        <v>0</v>
      </c>
      <c r="H27" s="182"/>
      <c r="I27" s="182"/>
      <c r="J27" s="182"/>
      <c r="K27" s="181">
        <f t="shared" ref="K27:K31" si="6">IFERROR(ROUND((($D27*$H27)+($D27*$I27*0.8)+($D27*$J27*0.9)),2),0)</f>
        <v>0</v>
      </c>
      <c r="L27" s="181">
        <f t="shared" ref="L27:L31" si="7">IFERROR(ROUND((($E27*$H27)+($E27*$I27*0.8)+($E27*$J27*0.9)),2),0)</f>
        <v>0</v>
      </c>
      <c r="M27" s="181">
        <f t="shared" ref="M27:M31" si="8">IFERROR(ROUND((($F27*$H27)+($F27*$I27*0.8)+($F27*$J27*0.9)),2),0)</f>
        <v>0</v>
      </c>
      <c r="N27" s="181">
        <f t="shared" ref="N27:N31" si="9">IFERROR(ROUND($M27-$L27,2),0)</f>
        <v>0</v>
      </c>
      <c r="O27" s="183"/>
    </row>
    <row r="28" spans="1:15" s="27" customFormat="1" x14ac:dyDescent="0.55000000000000004">
      <c r="A28" s="179"/>
      <c r="B28" s="184"/>
      <c r="C28" s="180" t="s">
        <v>100</v>
      </c>
      <c r="D28" s="181"/>
      <c r="E28" s="181"/>
      <c r="F28" s="181"/>
      <c r="G28" s="16">
        <f t="shared" ref="G28:G31" si="10">IFERROR(ROUND(($F28/$E28)-1,3),0)</f>
        <v>0</v>
      </c>
      <c r="H28" s="182"/>
      <c r="I28" s="182"/>
      <c r="J28" s="182"/>
      <c r="K28" s="181">
        <f t="shared" si="6"/>
        <v>0</v>
      </c>
      <c r="L28" s="181">
        <f t="shared" si="7"/>
        <v>0</v>
      </c>
      <c r="M28" s="181">
        <f t="shared" si="8"/>
        <v>0</v>
      </c>
      <c r="N28" s="181">
        <f t="shared" si="9"/>
        <v>0</v>
      </c>
      <c r="O28" s="183"/>
    </row>
    <row r="29" spans="1:15" s="27" customFormat="1" x14ac:dyDescent="0.55000000000000004">
      <c r="A29" s="179"/>
      <c r="B29" s="184"/>
      <c r="C29" s="180" t="s">
        <v>100</v>
      </c>
      <c r="D29" s="181"/>
      <c r="E29" s="181"/>
      <c r="F29" s="181"/>
      <c r="G29" s="16">
        <f t="shared" si="10"/>
        <v>0</v>
      </c>
      <c r="H29" s="182"/>
      <c r="I29" s="182"/>
      <c r="J29" s="182"/>
      <c r="K29" s="181">
        <f t="shared" si="6"/>
        <v>0</v>
      </c>
      <c r="L29" s="181">
        <f t="shared" si="7"/>
        <v>0</v>
      </c>
      <c r="M29" s="181">
        <f t="shared" si="8"/>
        <v>0</v>
      </c>
      <c r="N29" s="181">
        <f t="shared" si="9"/>
        <v>0</v>
      </c>
      <c r="O29" s="183"/>
    </row>
    <row r="30" spans="1:15" s="27" customFormat="1" x14ac:dyDescent="0.55000000000000004">
      <c r="A30" s="179"/>
      <c r="B30" s="184"/>
      <c r="C30" s="180" t="s">
        <v>100</v>
      </c>
      <c r="D30" s="181"/>
      <c r="E30" s="181"/>
      <c r="F30" s="181"/>
      <c r="G30" s="16">
        <f t="shared" si="10"/>
        <v>0</v>
      </c>
      <c r="H30" s="182"/>
      <c r="I30" s="182"/>
      <c r="J30" s="182"/>
      <c r="K30" s="181">
        <f t="shared" si="6"/>
        <v>0</v>
      </c>
      <c r="L30" s="181">
        <f t="shared" si="7"/>
        <v>0</v>
      </c>
      <c r="M30" s="181">
        <f t="shared" si="8"/>
        <v>0</v>
      </c>
      <c r="N30" s="181">
        <f t="shared" si="9"/>
        <v>0</v>
      </c>
      <c r="O30" s="183"/>
    </row>
    <row r="31" spans="1:15" s="27" customFormat="1" x14ac:dyDescent="0.55000000000000004">
      <c r="A31" s="179"/>
      <c r="B31" s="184"/>
      <c r="C31" s="180" t="s">
        <v>100</v>
      </c>
      <c r="D31" s="181"/>
      <c r="E31" s="181"/>
      <c r="F31" s="181"/>
      <c r="G31" s="16">
        <f t="shared" si="10"/>
        <v>0</v>
      </c>
      <c r="H31" s="182"/>
      <c r="I31" s="182"/>
      <c r="J31" s="182"/>
      <c r="K31" s="181">
        <f t="shared" si="6"/>
        <v>0</v>
      </c>
      <c r="L31" s="181">
        <f t="shared" si="7"/>
        <v>0</v>
      </c>
      <c r="M31" s="181">
        <f t="shared" si="8"/>
        <v>0</v>
      </c>
      <c r="N31" s="181">
        <f t="shared" si="9"/>
        <v>0</v>
      </c>
      <c r="O31" s="183"/>
    </row>
    <row r="32" spans="1:15" s="27" customFormat="1" x14ac:dyDescent="0.55000000000000004">
      <c r="A32" s="174"/>
      <c r="B32" s="175" t="s">
        <v>102</v>
      </c>
      <c r="C32" s="175" t="s">
        <v>103</v>
      </c>
      <c r="D32" s="176"/>
      <c r="E32" s="176"/>
      <c r="F32" s="176"/>
      <c r="G32" s="176"/>
      <c r="H32" s="177"/>
      <c r="I32" s="177"/>
      <c r="J32" s="177"/>
      <c r="K32" s="178"/>
      <c r="L32" s="178"/>
      <c r="M32" s="178"/>
      <c r="N32" s="178"/>
      <c r="O32" s="183"/>
    </row>
    <row r="33" spans="1:15" s="27" customFormat="1" x14ac:dyDescent="0.55000000000000004">
      <c r="A33" s="179" t="s">
        <v>97</v>
      </c>
      <c r="B33" s="179" t="s">
        <v>104</v>
      </c>
      <c r="C33" s="180" t="s">
        <v>103</v>
      </c>
      <c r="D33" s="181"/>
      <c r="E33" s="181"/>
      <c r="F33" s="181"/>
      <c r="G33" s="16">
        <f>IFERROR(ROUND(($F33/$E33)-1,3),0)</f>
        <v>0</v>
      </c>
      <c r="H33" s="182"/>
      <c r="I33" s="182"/>
      <c r="J33" s="182"/>
      <c r="K33" s="181">
        <f t="shared" ref="K33:K37" si="11">IFERROR(ROUND((($D33*$H33)+($D33*$I33*0.8)+($D33*$J33*0.9)),2),0)</f>
        <v>0</v>
      </c>
      <c r="L33" s="181">
        <f t="shared" ref="L33:L37" si="12">IFERROR(ROUND((($E33*$H33)+($E33*$I33*0.8)+($E33*$J33*0.9)),2),0)</f>
        <v>0</v>
      </c>
      <c r="M33" s="181">
        <f t="shared" ref="M33:M37" si="13">IFERROR(ROUND((($F33*$H33)+($F33*$I33*0.8)+($F33*$J33*0.9)),2),0)</f>
        <v>0</v>
      </c>
      <c r="N33" s="181">
        <f t="shared" ref="N33:N37" si="14">IFERROR(ROUND($M33-$L33,2),0)</f>
        <v>0</v>
      </c>
      <c r="O33" s="183"/>
    </row>
    <row r="34" spans="1:15" s="27" customFormat="1" x14ac:dyDescent="0.55000000000000004">
      <c r="A34" s="179"/>
      <c r="B34" s="179"/>
      <c r="C34" s="180" t="s">
        <v>103</v>
      </c>
      <c r="D34" s="181"/>
      <c r="E34" s="181"/>
      <c r="F34" s="181"/>
      <c r="G34" s="16">
        <f t="shared" ref="G34:G37" si="15">IFERROR(ROUND(($F34/$E34)-1,3),0)</f>
        <v>0</v>
      </c>
      <c r="H34" s="182"/>
      <c r="I34" s="182"/>
      <c r="J34" s="182"/>
      <c r="K34" s="181">
        <f t="shared" si="11"/>
        <v>0</v>
      </c>
      <c r="L34" s="181">
        <f t="shared" si="12"/>
        <v>0</v>
      </c>
      <c r="M34" s="181">
        <f t="shared" si="13"/>
        <v>0</v>
      </c>
      <c r="N34" s="181">
        <f t="shared" si="14"/>
        <v>0</v>
      </c>
      <c r="O34" s="183"/>
    </row>
    <row r="35" spans="1:15" s="27" customFormat="1" x14ac:dyDescent="0.55000000000000004">
      <c r="A35" s="179"/>
      <c r="B35" s="179"/>
      <c r="C35" s="180" t="s">
        <v>103</v>
      </c>
      <c r="D35" s="181"/>
      <c r="E35" s="181"/>
      <c r="F35" s="181"/>
      <c r="G35" s="16">
        <f t="shared" si="15"/>
        <v>0</v>
      </c>
      <c r="H35" s="182"/>
      <c r="I35" s="182"/>
      <c r="J35" s="182"/>
      <c r="K35" s="181">
        <f t="shared" si="11"/>
        <v>0</v>
      </c>
      <c r="L35" s="181">
        <f t="shared" si="12"/>
        <v>0</v>
      </c>
      <c r="M35" s="181">
        <f t="shared" si="13"/>
        <v>0</v>
      </c>
      <c r="N35" s="181">
        <f t="shared" si="14"/>
        <v>0</v>
      </c>
      <c r="O35" s="183"/>
    </row>
    <row r="36" spans="1:15" s="27" customFormat="1" x14ac:dyDescent="0.55000000000000004">
      <c r="A36" s="179"/>
      <c r="B36" s="179"/>
      <c r="C36" s="180" t="s">
        <v>103</v>
      </c>
      <c r="D36" s="181"/>
      <c r="E36" s="181"/>
      <c r="F36" s="181"/>
      <c r="G36" s="16">
        <f t="shared" si="15"/>
        <v>0</v>
      </c>
      <c r="H36" s="182"/>
      <c r="I36" s="182"/>
      <c r="J36" s="182"/>
      <c r="K36" s="181">
        <f t="shared" si="11"/>
        <v>0</v>
      </c>
      <c r="L36" s="181">
        <f t="shared" si="12"/>
        <v>0</v>
      </c>
      <c r="M36" s="181">
        <f t="shared" si="13"/>
        <v>0</v>
      </c>
      <c r="N36" s="181">
        <f t="shared" si="14"/>
        <v>0</v>
      </c>
      <c r="O36" s="183"/>
    </row>
    <row r="37" spans="1:15" s="27" customFormat="1" x14ac:dyDescent="0.55000000000000004">
      <c r="A37" s="179"/>
      <c r="B37" s="179"/>
      <c r="C37" s="180" t="s">
        <v>103</v>
      </c>
      <c r="D37" s="181"/>
      <c r="E37" s="181"/>
      <c r="F37" s="181"/>
      <c r="G37" s="16">
        <f t="shared" si="15"/>
        <v>0</v>
      </c>
      <c r="H37" s="182"/>
      <c r="I37" s="182"/>
      <c r="J37" s="182"/>
      <c r="K37" s="181">
        <f t="shared" si="11"/>
        <v>0</v>
      </c>
      <c r="L37" s="181">
        <f t="shared" si="12"/>
        <v>0</v>
      </c>
      <c r="M37" s="181">
        <f t="shared" si="13"/>
        <v>0</v>
      </c>
      <c r="N37" s="181">
        <f t="shared" si="14"/>
        <v>0</v>
      </c>
      <c r="O37" s="183"/>
    </row>
    <row r="38" spans="1:15" s="27" customFormat="1" x14ac:dyDescent="0.55000000000000004">
      <c r="A38" s="174"/>
      <c r="B38" s="175" t="s">
        <v>105</v>
      </c>
      <c r="C38" s="175" t="s">
        <v>106</v>
      </c>
      <c r="D38" s="176"/>
      <c r="E38" s="176"/>
      <c r="F38" s="176"/>
      <c r="G38" s="176"/>
      <c r="H38" s="177"/>
      <c r="I38" s="177"/>
      <c r="J38" s="177"/>
      <c r="K38" s="178"/>
      <c r="L38" s="178"/>
      <c r="M38" s="178"/>
      <c r="N38" s="178"/>
      <c r="O38" s="183"/>
    </row>
    <row r="39" spans="1:15" s="27" customFormat="1" x14ac:dyDescent="0.55000000000000004">
      <c r="A39" s="179" t="s">
        <v>97</v>
      </c>
      <c r="B39" s="179" t="s">
        <v>107</v>
      </c>
      <c r="C39" s="180" t="s">
        <v>106</v>
      </c>
      <c r="D39" s="181"/>
      <c r="E39" s="181"/>
      <c r="F39" s="181"/>
      <c r="G39" s="16">
        <f>IFERROR(ROUND(($F39/$E39)-1,3),0)</f>
        <v>0</v>
      </c>
      <c r="H39" s="182"/>
      <c r="I39" s="182"/>
      <c r="J39" s="182"/>
      <c r="K39" s="181">
        <f t="shared" ref="K39:K43" si="16">IFERROR(ROUND((($D39*$H39)+($D39*$I39*0.8)+($D39*$J39*0.9)),2),0)</f>
        <v>0</v>
      </c>
      <c r="L39" s="181">
        <f t="shared" ref="L39:L43" si="17">IFERROR(ROUND((($E39*$H39)+($E39*$I39*0.8)+($E39*$J39*0.9)),2),0)</f>
        <v>0</v>
      </c>
      <c r="M39" s="181">
        <f t="shared" ref="M39:M43" si="18">IFERROR(ROUND((($F39*$H39)+($F39*$I39*0.8)+($F39*$J39*0.9)),2),0)</f>
        <v>0</v>
      </c>
      <c r="N39" s="181">
        <f t="shared" ref="N39:N43" si="19">IFERROR(ROUND($M39-$L39,2),0)</f>
        <v>0</v>
      </c>
      <c r="O39" s="183"/>
    </row>
    <row r="40" spans="1:15" s="27" customFormat="1" x14ac:dyDescent="0.55000000000000004">
      <c r="A40" s="179"/>
      <c r="B40" s="179"/>
      <c r="C40" s="180" t="s">
        <v>106</v>
      </c>
      <c r="D40" s="181"/>
      <c r="E40" s="181"/>
      <c r="F40" s="181"/>
      <c r="G40" s="16">
        <f t="shared" ref="G40:G43" si="20">IFERROR(ROUND(($F40/$E40)-1,3),0)</f>
        <v>0</v>
      </c>
      <c r="H40" s="182"/>
      <c r="I40" s="182"/>
      <c r="J40" s="182"/>
      <c r="K40" s="181">
        <f t="shared" si="16"/>
        <v>0</v>
      </c>
      <c r="L40" s="181">
        <f t="shared" si="17"/>
        <v>0</v>
      </c>
      <c r="M40" s="181">
        <f t="shared" si="18"/>
        <v>0</v>
      </c>
      <c r="N40" s="181">
        <f t="shared" si="19"/>
        <v>0</v>
      </c>
      <c r="O40" s="183"/>
    </row>
    <row r="41" spans="1:15" s="27" customFormat="1" x14ac:dyDescent="0.55000000000000004">
      <c r="A41" s="179"/>
      <c r="B41" s="179"/>
      <c r="C41" s="180" t="s">
        <v>106</v>
      </c>
      <c r="D41" s="181"/>
      <c r="E41" s="181"/>
      <c r="F41" s="181"/>
      <c r="G41" s="16">
        <f t="shared" si="20"/>
        <v>0</v>
      </c>
      <c r="H41" s="182"/>
      <c r="I41" s="182"/>
      <c r="J41" s="182"/>
      <c r="K41" s="181">
        <f t="shared" si="16"/>
        <v>0</v>
      </c>
      <c r="L41" s="181">
        <f t="shared" si="17"/>
        <v>0</v>
      </c>
      <c r="M41" s="181">
        <f t="shared" si="18"/>
        <v>0</v>
      </c>
      <c r="N41" s="181">
        <f t="shared" si="19"/>
        <v>0</v>
      </c>
      <c r="O41" s="183"/>
    </row>
    <row r="42" spans="1:15" s="27" customFormat="1" x14ac:dyDescent="0.55000000000000004">
      <c r="A42" s="179"/>
      <c r="B42" s="179"/>
      <c r="C42" s="180" t="s">
        <v>106</v>
      </c>
      <c r="D42" s="181"/>
      <c r="E42" s="181"/>
      <c r="F42" s="181"/>
      <c r="G42" s="16">
        <f t="shared" si="20"/>
        <v>0</v>
      </c>
      <c r="H42" s="182"/>
      <c r="I42" s="182"/>
      <c r="J42" s="182"/>
      <c r="K42" s="181">
        <f t="shared" si="16"/>
        <v>0</v>
      </c>
      <c r="L42" s="181">
        <f t="shared" si="17"/>
        <v>0</v>
      </c>
      <c r="M42" s="181">
        <f t="shared" si="18"/>
        <v>0</v>
      </c>
      <c r="N42" s="181">
        <f t="shared" si="19"/>
        <v>0</v>
      </c>
      <c r="O42" s="183"/>
    </row>
    <row r="43" spans="1:15" s="27" customFormat="1" x14ac:dyDescent="0.55000000000000004">
      <c r="A43" s="179"/>
      <c r="B43" s="179"/>
      <c r="C43" s="180" t="s">
        <v>106</v>
      </c>
      <c r="D43" s="181"/>
      <c r="E43" s="181"/>
      <c r="F43" s="181"/>
      <c r="G43" s="16">
        <f t="shared" si="20"/>
        <v>0</v>
      </c>
      <c r="H43" s="182"/>
      <c r="I43" s="182"/>
      <c r="J43" s="182"/>
      <c r="K43" s="181">
        <f t="shared" si="16"/>
        <v>0</v>
      </c>
      <c r="L43" s="181">
        <f t="shared" si="17"/>
        <v>0</v>
      </c>
      <c r="M43" s="181">
        <f t="shared" si="18"/>
        <v>0</v>
      </c>
      <c r="N43" s="181">
        <f t="shared" si="19"/>
        <v>0</v>
      </c>
      <c r="O43" s="183"/>
    </row>
    <row r="44" spans="1:15" s="27" customFormat="1" x14ac:dyDescent="0.55000000000000004">
      <c r="A44" s="174"/>
      <c r="B44" s="175" t="s">
        <v>108</v>
      </c>
      <c r="C44" s="175" t="s">
        <v>109</v>
      </c>
      <c r="D44" s="176"/>
      <c r="E44" s="176"/>
      <c r="F44" s="176"/>
      <c r="G44" s="176"/>
      <c r="H44" s="177"/>
      <c r="I44" s="177"/>
      <c r="J44" s="177"/>
      <c r="K44" s="178"/>
      <c r="L44" s="178"/>
      <c r="M44" s="178"/>
      <c r="N44" s="178"/>
      <c r="O44" s="183"/>
    </row>
    <row r="45" spans="1:15" s="27" customFormat="1" x14ac:dyDescent="0.55000000000000004">
      <c r="A45" s="179" t="s">
        <v>97</v>
      </c>
      <c r="B45" s="179" t="s">
        <v>110</v>
      </c>
      <c r="C45" s="180" t="s">
        <v>109</v>
      </c>
      <c r="D45" s="181"/>
      <c r="E45" s="181"/>
      <c r="F45" s="181"/>
      <c r="G45" s="16">
        <f>IFERROR(ROUND(($F45/$E45)-1,3),0)</f>
        <v>0</v>
      </c>
      <c r="H45" s="182"/>
      <c r="I45" s="182"/>
      <c r="J45" s="182"/>
      <c r="K45" s="181">
        <f t="shared" ref="K45:K49" si="21">IFERROR(ROUND((($D45*$H45)+($D45*$I45*0.8)+($D45*$J45*0.9)),2),0)</f>
        <v>0</v>
      </c>
      <c r="L45" s="181">
        <f t="shared" ref="L45:L49" si="22">IFERROR(ROUND((($E45*$H45)+($E45*$I45*0.8)+($E45*$J45*0.9)),2),0)</f>
        <v>0</v>
      </c>
      <c r="M45" s="181">
        <f t="shared" ref="M45:M49" si="23">IFERROR(ROUND((($F45*$H45)+($F45*$I45*0.8)+($F45*$J45*0.9)),2),0)</f>
        <v>0</v>
      </c>
      <c r="N45" s="181">
        <f t="shared" ref="N45:N49" si="24">IFERROR(ROUND($M45-$L45,2),0)</f>
        <v>0</v>
      </c>
      <c r="O45" s="183"/>
    </row>
    <row r="46" spans="1:15" s="27" customFormat="1" x14ac:dyDescent="0.55000000000000004">
      <c r="A46" s="179"/>
      <c r="B46" s="179"/>
      <c r="C46" s="180" t="s">
        <v>109</v>
      </c>
      <c r="D46" s="181"/>
      <c r="E46" s="181"/>
      <c r="F46" s="181"/>
      <c r="G46" s="16">
        <f t="shared" ref="G46:G49" si="25">IFERROR(ROUND(($F46/$E46)-1,3),0)</f>
        <v>0</v>
      </c>
      <c r="H46" s="182"/>
      <c r="I46" s="182"/>
      <c r="J46" s="182"/>
      <c r="K46" s="181">
        <f t="shared" si="21"/>
        <v>0</v>
      </c>
      <c r="L46" s="181">
        <f t="shared" si="22"/>
        <v>0</v>
      </c>
      <c r="M46" s="181">
        <f t="shared" si="23"/>
        <v>0</v>
      </c>
      <c r="N46" s="181">
        <f t="shared" si="24"/>
        <v>0</v>
      </c>
      <c r="O46" s="183"/>
    </row>
    <row r="47" spans="1:15" s="27" customFormat="1" x14ac:dyDescent="0.55000000000000004">
      <c r="A47" s="179"/>
      <c r="B47" s="179"/>
      <c r="C47" s="180" t="s">
        <v>109</v>
      </c>
      <c r="D47" s="181"/>
      <c r="E47" s="181"/>
      <c r="F47" s="181"/>
      <c r="G47" s="16">
        <f t="shared" si="25"/>
        <v>0</v>
      </c>
      <c r="H47" s="182"/>
      <c r="I47" s="182"/>
      <c r="J47" s="182"/>
      <c r="K47" s="181">
        <f t="shared" si="21"/>
        <v>0</v>
      </c>
      <c r="L47" s="181">
        <f t="shared" si="22"/>
        <v>0</v>
      </c>
      <c r="M47" s="181">
        <f t="shared" si="23"/>
        <v>0</v>
      </c>
      <c r="N47" s="181">
        <f t="shared" si="24"/>
        <v>0</v>
      </c>
      <c r="O47" s="170"/>
    </row>
    <row r="48" spans="1:15" s="27" customFormat="1" x14ac:dyDescent="0.55000000000000004">
      <c r="A48" s="179"/>
      <c r="B48" s="179"/>
      <c r="C48" s="180" t="s">
        <v>109</v>
      </c>
      <c r="D48" s="181"/>
      <c r="E48" s="181"/>
      <c r="F48" s="181"/>
      <c r="G48" s="16">
        <f t="shared" si="25"/>
        <v>0</v>
      </c>
      <c r="H48" s="182"/>
      <c r="I48" s="182"/>
      <c r="J48" s="182"/>
      <c r="K48" s="181">
        <f t="shared" si="21"/>
        <v>0</v>
      </c>
      <c r="L48" s="181">
        <f t="shared" si="22"/>
        <v>0</v>
      </c>
      <c r="M48" s="181">
        <f t="shared" si="23"/>
        <v>0</v>
      </c>
      <c r="N48" s="181">
        <f t="shared" si="24"/>
        <v>0</v>
      </c>
      <c r="O48" s="183"/>
    </row>
    <row r="49" spans="1:15" s="27" customFormat="1" x14ac:dyDescent="0.55000000000000004">
      <c r="A49" s="179"/>
      <c r="B49" s="179"/>
      <c r="C49" s="180" t="s">
        <v>109</v>
      </c>
      <c r="D49" s="181"/>
      <c r="E49" s="181"/>
      <c r="F49" s="181"/>
      <c r="G49" s="16">
        <f t="shared" si="25"/>
        <v>0</v>
      </c>
      <c r="H49" s="182"/>
      <c r="I49" s="182"/>
      <c r="J49" s="182"/>
      <c r="K49" s="181">
        <f t="shared" si="21"/>
        <v>0</v>
      </c>
      <c r="L49" s="181">
        <f t="shared" si="22"/>
        <v>0</v>
      </c>
      <c r="M49" s="181">
        <f t="shared" si="23"/>
        <v>0</v>
      </c>
      <c r="N49" s="181">
        <f t="shared" si="24"/>
        <v>0</v>
      </c>
      <c r="O49" s="170"/>
    </row>
    <row r="50" spans="1:15" s="27" customFormat="1" x14ac:dyDescent="0.55000000000000004">
      <c r="A50" s="174"/>
      <c r="B50" s="175" t="s">
        <v>111</v>
      </c>
      <c r="C50" s="175" t="s">
        <v>112</v>
      </c>
      <c r="D50" s="176"/>
      <c r="E50" s="176"/>
      <c r="F50" s="176"/>
      <c r="G50" s="176"/>
      <c r="H50" s="177"/>
      <c r="I50" s="177"/>
      <c r="J50" s="177"/>
      <c r="K50" s="178"/>
      <c r="L50" s="178"/>
      <c r="M50" s="178"/>
      <c r="N50" s="178"/>
      <c r="O50" s="170"/>
    </row>
    <row r="51" spans="1:15" s="27" customFormat="1" x14ac:dyDescent="0.55000000000000004">
      <c r="A51" s="179" t="s">
        <v>97</v>
      </c>
      <c r="B51" s="179" t="s">
        <v>113</v>
      </c>
      <c r="C51" s="180" t="s">
        <v>112</v>
      </c>
      <c r="D51" s="181"/>
      <c r="E51" s="181"/>
      <c r="F51" s="181"/>
      <c r="G51" s="16">
        <f>IFERROR(ROUND(($F51/$E51)-1,3),0)</f>
        <v>0</v>
      </c>
      <c r="H51" s="182"/>
      <c r="I51" s="182"/>
      <c r="J51" s="182"/>
      <c r="K51" s="181">
        <f t="shared" ref="K51:K55" si="26">IFERROR(ROUND((($D51*$H51)+($D51*$I51*0.8)+($D51*$J51*0.9)),2),0)</f>
        <v>0</v>
      </c>
      <c r="L51" s="181">
        <f t="shared" ref="L51:L55" si="27">IFERROR(ROUND((($E51*$H51)+($E51*$I51*0.8)+($E51*$J51*0.9)),2),0)</f>
        <v>0</v>
      </c>
      <c r="M51" s="181">
        <f t="shared" ref="M51:M55" si="28">IFERROR(ROUND((($F51*$H51)+($F51*$I51*0.8)+($F51*$J51*0.9)),2),0)</f>
        <v>0</v>
      </c>
      <c r="N51" s="181">
        <f t="shared" ref="N51:N55" si="29">IFERROR(ROUND($M51-$L51,2),0)</f>
        <v>0</v>
      </c>
      <c r="O51" s="183"/>
    </row>
    <row r="52" spans="1:15" s="27" customFormat="1" x14ac:dyDescent="0.55000000000000004">
      <c r="A52" s="179"/>
      <c r="B52" s="179"/>
      <c r="C52" s="180" t="s">
        <v>134</v>
      </c>
      <c r="D52" s="181"/>
      <c r="E52" s="181"/>
      <c r="F52" s="181"/>
      <c r="G52" s="16">
        <f t="shared" ref="G52:G55" si="30">IFERROR(ROUND(($F52/$E52)-1,3),0)</f>
        <v>0</v>
      </c>
      <c r="H52" s="182"/>
      <c r="I52" s="182"/>
      <c r="J52" s="182"/>
      <c r="K52" s="181">
        <f t="shared" si="26"/>
        <v>0</v>
      </c>
      <c r="L52" s="181">
        <f t="shared" si="27"/>
        <v>0</v>
      </c>
      <c r="M52" s="181">
        <f t="shared" si="28"/>
        <v>0</v>
      </c>
      <c r="N52" s="181">
        <f t="shared" si="29"/>
        <v>0</v>
      </c>
      <c r="O52" s="183"/>
    </row>
    <row r="53" spans="1:15" s="27" customFormat="1" x14ac:dyDescent="0.55000000000000004">
      <c r="A53" s="179"/>
      <c r="B53" s="179"/>
      <c r="C53" s="180" t="s">
        <v>115</v>
      </c>
      <c r="D53" s="181"/>
      <c r="E53" s="181"/>
      <c r="F53" s="181"/>
      <c r="G53" s="16">
        <f t="shared" si="30"/>
        <v>0</v>
      </c>
      <c r="H53" s="182"/>
      <c r="I53" s="182"/>
      <c r="J53" s="182"/>
      <c r="K53" s="181">
        <f t="shared" si="26"/>
        <v>0</v>
      </c>
      <c r="L53" s="181">
        <f t="shared" si="27"/>
        <v>0</v>
      </c>
      <c r="M53" s="181">
        <f t="shared" si="28"/>
        <v>0</v>
      </c>
      <c r="N53" s="181">
        <f t="shared" si="29"/>
        <v>0</v>
      </c>
      <c r="O53" s="183"/>
    </row>
    <row r="54" spans="1:15" s="27" customFormat="1" x14ac:dyDescent="0.55000000000000004">
      <c r="A54" s="179"/>
      <c r="B54" s="179"/>
      <c r="C54" s="180" t="s">
        <v>135</v>
      </c>
      <c r="D54" s="181"/>
      <c r="E54" s="181"/>
      <c r="F54" s="181"/>
      <c r="G54" s="16">
        <f t="shared" si="30"/>
        <v>0</v>
      </c>
      <c r="H54" s="182"/>
      <c r="I54" s="182"/>
      <c r="J54" s="182"/>
      <c r="K54" s="181">
        <f t="shared" si="26"/>
        <v>0</v>
      </c>
      <c r="L54" s="181">
        <f t="shared" si="27"/>
        <v>0</v>
      </c>
      <c r="M54" s="181">
        <f t="shared" si="28"/>
        <v>0</v>
      </c>
      <c r="N54" s="181">
        <f t="shared" si="29"/>
        <v>0</v>
      </c>
      <c r="O54" s="183"/>
    </row>
    <row r="55" spans="1:15" s="27" customFormat="1" x14ac:dyDescent="0.55000000000000004">
      <c r="A55" s="179"/>
      <c r="B55" s="179"/>
      <c r="C55" s="180" t="s">
        <v>136</v>
      </c>
      <c r="D55" s="181"/>
      <c r="E55" s="181"/>
      <c r="F55" s="181"/>
      <c r="G55" s="16">
        <f t="shared" si="30"/>
        <v>0</v>
      </c>
      <c r="H55" s="182"/>
      <c r="I55" s="182"/>
      <c r="J55" s="182"/>
      <c r="K55" s="181">
        <f t="shared" si="26"/>
        <v>0</v>
      </c>
      <c r="L55" s="181">
        <f t="shared" si="27"/>
        <v>0</v>
      </c>
      <c r="M55" s="181">
        <f t="shared" si="28"/>
        <v>0</v>
      </c>
      <c r="N55" s="181">
        <f t="shared" si="29"/>
        <v>0</v>
      </c>
      <c r="O55" s="183"/>
    </row>
    <row r="56" spans="1:15" s="27" customFormat="1" x14ac:dyDescent="0.55000000000000004">
      <c r="A56" s="174"/>
      <c r="B56" s="175" t="s">
        <v>114</v>
      </c>
      <c r="C56" s="175" t="s">
        <v>115</v>
      </c>
      <c r="D56" s="176"/>
      <c r="E56" s="176"/>
      <c r="F56" s="176"/>
      <c r="G56" s="176"/>
      <c r="H56" s="177"/>
      <c r="I56" s="177"/>
      <c r="J56" s="177"/>
      <c r="K56" s="178"/>
      <c r="L56" s="178"/>
      <c r="M56" s="178"/>
      <c r="N56" s="178"/>
      <c r="O56" s="183"/>
    </row>
    <row r="57" spans="1:15" s="27" customFormat="1" x14ac:dyDescent="0.55000000000000004">
      <c r="A57" s="179" t="s">
        <v>97</v>
      </c>
      <c r="B57" s="179" t="s">
        <v>116</v>
      </c>
      <c r="C57" s="180" t="s">
        <v>115</v>
      </c>
      <c r="D57" s="181"/>
      <c r="E57" s="181"/>
      <c r="F57" s="181"/>
      <c r="G57" s="16">
        <f>IFERROR(ROUND(($F57/$E57)-1,3),0)</f>
        <v>0</v>
      </c>
      <c r="H57" s="182"/>
      <c r="I57" s="182"/>
      <c r="J57" s="182"/>
      <c r="K57" s="181">
        <f t="shared" ref="K57:K61" si="31">IFERROR(ROUND((($D57*$H57)+($D57*$I57*0.8)+($D57*$J57*0.9)),2),0)</f>
        <v>0</v>
      </c>
      <c r="L57" s="181">
        <f t="shared" ref="L57:L61" si="32">IFERROR(ROUND((($E57*$H57)+($E57*$I57*0.8)+($E57*$J57*0.9)),2),0)</f>
        <v>0</v>
      </c>
      <c r="M57" s="181">
        <f t="shared" ref="M57:M61" si="33">IFERROR(ROUND((($F57*$H57)+($F57*$I57*0.8)+($F57*$J57*0.9)),2),0)</f>
        <v>0</v>
      </c>
      <c r="N57" s="181">
        <f t="shared" ref="N57:N61" si="34">IFERROR(ROUND($M57-$L57,2),0)</f>
        <v>0</v>
      </c>
      <c r="O57" s="183"/>
    </row>
    <row r="58" spans="1:15" s="27" customFormat="1" x14ac:dyDescent="0.55000000000000004">
      <c r="A58" s="179"/>
      <c r="B58" s="179"/>
      <c r="C58" s="180" t="s">
        <v>135</v>
      </c>
      <c r="D58" s="181"/>
      <c r="E58" s="181"/>
      <c r="F58" s="181"/>
      <c r="G58" s="16">
        <f t="shared" ref="G58:G61" si="35">IFERROR(ROUND(($F58/$E58)-1,3),0)</f>
        <v>0</v>
      </c>
      <c r="H58" s="182"/>
      <c r="I58" s="182"/>
      <c r="J58" s="182"/>
      <c r="K58" s="181">
        <f t="shared" si="31"/>
        <v>0</v>
      </c>
      <c r="L58" s="181">
        <f t="shared" si="32"/>
        <v>0</v>
      </c>
      <c r="M58" s="181">
        <f t="shared" si="33"/>
        <v>0</v>
      </c>
      <c r="N58" s="181">
        <f t="shared" si="34"/>
        <v>0</v>
      </c>
      <c r="O58" s="183"/>
    </row>
    <row r="59" spans="1:15" s="27" customFormat="1" x14ac:dyDescent="0.55000000000000004">
      <c r="A59" s="179"/>
      <c r="B59" s="179"/>
      <c r="C59" s="180" t="s">
        <v>136</v>
      </c>
      <c r="D59" s="181"/>
      <c r="E59" s="181"/>
      <c r="F59" s="181"/>
      <c r="G59" s="16">
        <f t="shared" si="35"/>
        <v>0</v>
      </c>
      <c r="H59" s="182"/>
      <c r="I59" s="182"/>
      <c r="J59" s="182"/>
      <c r="K59" s="181">
        <f t="shared" si="31"/>
        <v>0</v>
      </c>
      <c r="L59" s="181">
        <f t="shared" si="32"/>
        <v>0</v>
      </c>
      <c r="M59" s="181">
        <f t="shared" si="33"/>
        <v>0</v>
      </c>
      <c r="N59" s="181">
        <f t="shared" si="34"/>
        <v>0</v>
      </c>
      <c r="O59" s="183"/>
    </row>
    <row r="60" spans="1:15" s="27" customFormat="1" x14ac:dyDescent="0.55000000000000004">
      <c r="A60" s="179"/>
      <c r="B60" s="179"/>
      <c r="C60" s="180" t="s">
        <v>137</v>
      </c>
      <c r="D60" s="181"/>
      <c r="E60" s="181"/>
      <c r="F60" s="181"/>
      <c r="G60" s="16">
        <f t="shared" si="35"/>
        <v>0</v>
      </c>
      <c r="H60" s="182"/>
      <c r="I60" s="182"/>
      <c r="J60" s="182"/>
      <c r="K60" s="181">
        <f t="shared" si="31"/>
        <v>0</v>
      </c>
      <c r="L60" s="181">
        <f t="shared" si="32"/>
        <v>0</v>
      </c>
      <c r="M60" s="181">
        <f t="shared" si="33"/>
        <v>0</v>
      </c>
      <c r="N60" s="181">
        <f t="shared" si="34"/>
        <v>0</v>
      </c>
      <c r="O60" s="183"/>
    </row>
    <row r="61" spans="1:15" s="27" customFormat="1" x14ac:dyDescent="0.55000000000000004">
      <c r="A61" s="179"/>
      <c r="B61" s="179"/>
      <c r="C61" s="180" t="s">
        <v>138</v>
      </c>
      <c r="D61" s="181"/>
      <c r="E61" s="181"/>
      <c r="F61" s="181"/>
      <c r="G61" s="16">
        <f t="shared" si="35"/>
        <v>0</v>
      </c>
      <c r="H61" s="182"/>
      <c r="I61" s="182"/>
      <c r="J61" s="182"/>
      <c r="K61" s="181">
        <f t="shared" si="31"/>
        <v>0</v>
      </c>
      <c r="L61" s="181">
        <f t="shared" si="32"/>
        <v>0</v>
      </c>
      <c r="M61" s="181">
        <f t="shared" si="33"/>
        <v>0</v>
      </c>
      <c r="N61" s="181">
        <f t="shared" si="34"/>
        <v>0</v>
      </c>
      <c r="O61" s="183"/>
    </row>
    <row r="62" spans="1:15" s="27" customFormat="1" x14ac:dyDescent="0.55000000000000004">
      <c r="A62" s="174"/>
      <c r="B62" s="175" t="s">
        <v>117</v>
      </c>
      <c r="C62" s="175" t="s">
        <v>118</v>
      </c>
      <c r="D62" s="176"/>
      <c r="E62" s="176"/>
      <c r="F62" s="176"/>
      <c r="G62" s="176"/>
      <c r="H62" s="177"/>
      <c r="I62" s="177"/>
      <c r="J62" s="177"/>
      <c r="K62" s="178"/>
      <c r="L62" s="178"/>
      <c r="M62" s="178"/>
      <c r="N62" s="178"/>
      <c r="O62" s="183"/>
    </row>
    <row r="63" spans="1:15" s="27" customFormat="1" x14ac:dyDescent="0.55000000000000004">
      <c r="A63" s="179" t="s">
        <v>97</v>
      </c>
      <c r="B63" s="179" t="s">
        <v>119</v>
      </c>
      <c r="C63" s="180" t="s">
        <v>118</v>
      </c>
      <c r="D63" s="181"/>
      <c r="E63" s="181"/>
      <c r="F63" s="181"/>
      <c r="G63" s="16">
        <f>IFERROR(ROUND(($F63/$E63)-1,3),0)</f>
        <v>0</v>
      </c>
      <c r="H63" s="182"/>
      <c r="I63" s="182"/>
      <c r="J63" s="182"/>
      <c r="K63" s="181">
        <f t="shared" ref="K63:K67" si="36">IFERROR(ROUND((($D63*$H63)+($D63*$I63*0.8)+($D63*$J63*0.9)),2),0)</f>
        <v>0</v>
      </c>
      <c r="L63" s="181">
        <f t="shared" ref="L63:L67" si="37">IFERROR(ROUND((($E63*$H63)+($E63*$I63*0.8)+($E63*$J63*0.9)),2),0)</f>
        <v>0</v>
      </c>
      <c r="M63" s="181">
        <f t="shared" ref="M63:M67" si="38">IFERROR(ROUND((($F63*$H63)+($F63*$I63*0.8)+($F63*$J63*0.9)),2),0)</f>
        <v>0</v>
      </c>
      <c r="N63" s="181">
        <f t="shared" ref="N63:N67" si="39">IFERROR(ROUND($M63-$L63,2),0)</f>
        <v>0</v>
      </c>
      <c r="O63" s="183"/>
    </row>
    <row r="64" spans="1:15" s="27" customFormat="1" x14ac:dyDescent="0.55000000000000004">
      <c r="A64" s="179"/>
      <c r="B64" s="179"/>
      <c r="C64" s="180" t="s">
        <v>118</v>
      </c>
      <c r="D64" s="181"/>
      <c r="E64" s="181"/>
      <c r="F64" s="181"/>
      <c r="G64" s="16">
        <f t="shared" ref="G64:G67" si="40">IFERROR(ROUND(($F64/$E64)-1,3),0)</f>
        <v>0</v>
      </c>
      <c r="H64" s="182"/>
      <c r="I64" s="182"/>
      <c r="J64" s="182"/>
      <c r="K64" s="181">
        <f t="shared" si="36"/>
        <v>0</v>
      </c>
      <c r="L64" s="181">
        <f t="shared" si="37"/>
        <v>0</v>
      </c>
      <c r="M64" s="181">
        <f t="shared" si="38"/>
        <v>0</v>
      </c>
      <c r="N64" s="181">
        <f t="shared" si="39"/>
        <v>0</v>
      </c>
      <c r="O64" s="183"/>
    </row>
    <row r="65" spans="1:15" s="27" customFormat="1" x14ac:dyDescent="0.55000000000000004">
      <c r="A65" s="179"/>
      <c r="B65" s="179"/>
      <c r="C65" s="180" t="s">
        <v>118</v>
      </c>
      <c r="D65" s="181"/>
      <c r="E65" s="181"/>
      <c r="F65" s="181"/>
      <c r="G65" s="16">
        <f t="shared" si="40"/>
        <v>0</v>
      </c>
      <c r="H65" s="182"/>
      <c r="I65" s="182"/>
      <c r="J65" s="182"/>
      <c r="K65" s="181">
        <f t="shared" si="36"/>
        <v>0</v>
      </c>
      <c r="L65" s="181">
        <f t="shared" si="37"/>
        <v>0</v>
      </c>
      <c r="M65" s="181">
        <f t="shared" si="38"/>
        <v>0</v>
      </c>
      <c r="N65" s="181">
        <f t="shared" si="39"/>
        <v>0</v>
      </c>
      <c r="O65" s="183"/>
    </row>
    <row r="66" spans="1:15" s="27" customFormat="1" x14ac:dyDescent="0.55000000000000004">
      <c r="A66" s="179"/>
      <c r="B66" s="179"/>
      <c r="C66" s="180" t="s">
        <v>118</v>
      </c>
      <c r="D66" s="181"/>
      <c r="E66" s="181"/>
      <c r="F66" s="181"/>
      <c r="G66" s="16">
        <f t="shared" si="40"/>
        <v>0</v>
      </c>
      <c r="H66" s="182"/>
      <c r="I66" s="182"/>
      <c r="J66" s="182"/>
      <c r="K66" s="181">
        <f t="shared" si="36"/>
        <v>0</v>
      </c>
      <c r="L66" s="181">
        <f t="shared" si="37"/>
        <v>0</v>
      </c>
      <c r="M66" s="181">
        <f t="shared" si="38"/>
        <v>0</v>
      </c>
      <c r="N66" s="181">
        <f t="shared" si="39"/>
        <v>0</v>
      </c>
      <c r="O66" s="183"/>
    </row>
    <row r="67" spans="1:15" s="27" customFormat="1" x14ac:dyDescent="0.55000000000000004">
      <c r="A67" s="179"/>
      <c r="B67" s="179"/>
      <c r="C67" s="180" t="s">
        <v>118</v>
      </c>
      <c r="D67" s="181"/>
      <c r="E67" s="181"/>
      <c r="F67" s="181"/>
      <c r="G67" s="16">
        <f t="shared" si="40"/>
        <v>0</v>
      </c>
      <c r="H67" s="182"/>
      <c r="I67" s="182"/>
      <c r="J67" s="182"/>
      <c r="K67" s="181">
        <f t="shared" si="36"/>
        <v>0</v>
      </c>
      <c r="L67" s="181">
        <f t="shared" si="37"/>
        <v>0</v>
      </c>
      <c r="M67" s="181">
        <f t="shared" si="38"/>
        <v>0</v>
      </c>
      <c r="N67" s="181">
        <f t="shared" si="39"/>
        <v>0</v>
      </c>
      <c r="O67" s="183"/>
    </row>
    <row r="68" spans="1:15" s="27" customFormat="1" ht="28.8" x14ac:dyDescent="0.55000000000000004">
      <c r="A68" s="174"/>
      <c r="B68" s="175" t="s">
        <v>120</v>
      </c>
      <c r="C68" s="175" t="s">
        <v>121</v>
      </c>
      <c r="D68" s="176"/>
      <c r="E68" s="176"/>
      <c r="F68" s="176"/>
      <c r="G68" s="176"/>
      <c r="H68" s="177"/>
      <c r="I68" s="177"/>
      <c r="J68" s="177"/>
      <c r="K68" s="178"/>
      <c r="L68" s="178"/>
      <c r="M68" s="178"/>
      <c r="N68" s="178"/>
      <c r="O68" s="183"/>
    </row>
    <row r="69" spans="1:15" s="27" customFormat="1" ht="28.8" x14ac:dyDescent="0.55000000000000004">
      <c r="A69" s="179" t="s">
        <v>97</v>
      </c>
      <c r="B69" s="184" t="s">
        <v>122</v>
      </c>
      <c r="C69" s="180" t="s">
        <v>121</v>
      </c>
      <c r="D69" s="181"/>
      <c r="E69" s="181"/>
      <c r="F69" s="181"/>
      <c r="G69" s="16">
        <f>IFERROR(ROUND(($F69/$E69)-1,3),0)</f>
        <v>0</v>
      </c>
      <c r="H69" s="182"/>
      <c r="I69" s="182"/>
      <c r="J69" s="182"/>
      <c r="K69" s="181">
        <f t="shared" ref="K69:K73" si="41">IFERROR(ROUND((($D69*$H69)+($D69*$I69*0.8)+($D69*$J69*0.9)),2),0)</f>
        <v>0</v>
      </c>
      <c r="L69" s="181">
        <f t="shared" ref="L69:L73" si="42">IFERROR(ROUND((($E69*$H69)+($E69*$I69*0.8)+($E69*$J69*0.9)),2),0)</f>
        <v>0</v>
      </c>
      <c r="M69" s="181">
        <f t="shared" ref="M69:M73" si="43">IFERROR(ROUND((($F69*$H69)+($F69*$I69*0.8)+($F69*$J69*0.9)),2),0)</f>
        <v>0</v>
      </c>
      <c r="N69" s="181">
        <f t="shared" ref="N69:N73" si="44">IFERROR(ROUND($M69-$L69,2),0)</f>
        <v>0</v>
      </c>
      <c r="O69" s="183"/>
    </row>
    <row r="70" spans="1:15" s="27" customFormat="1" x14ac:dyDescent="0.55000000000000004">
      <c r="A70" s="179"/>
      <c r="B70" s="179"/>
      <c r="C70" s="180" t="s">
        <v>121</v>
      </c>
      <c r="D70" s="181"/>
      <c r="E70" s="181"/>
      <c r="F70" s="181"/>
      <c r="G70" s="16">
        <f t="shared" ref="G70:G73" si="45">IFERROR(ROUND(($F70/$E70)-1,3),0)</f>
        <v>0</v>
      </c>
      <c r="H70" s="182"/>
      <c r="I70" s="182"/>
      <c r="J70" s="182"/>
      <c r="K70" s="181">
        <f t="shared" si="41"/>
        <v>0</v>
      </c>
      <c r="L70" s="181">
        <f t="shared" si="42"/>
        <v>0</v>
      </c>
      <c r="M70" s="181">
        <f t="shared" si="43"/>
        <v>0</v>
      </c>
      <c r="N70" s="181">
        <f t="shared" si="44"/>
        <v>0</v>
      </c>
      <c r="O70" s="183"/>
    </row>
    <row r="71" spans="1:15" s="27" customFormat="1" x14ac:dyDescent="0.55000000000000004">
      <c r="A71" s="179"/>
      <c r="B71" s="179"/>
      <c r="C71" s="180" t="s">
        <v>121</v>
      </c>
      <c r="D71" s="181"/>
      <c r="E71" s="181"/>
      <c r="F71" s="181"/>
      <c r="G71" s="16">
        <f t="shared" si="45"/>
        <v>0</v>
      </c>
      <c r="H71" s="182"/>
      <c r="I71" s="182"/>
      <c r="J71" s="182"/>
      <c r="K71" s="181">
        <f t="shared" si="41"/>
        <v>0</v>
      </c>
      <c r="L71" s="181">
        <f t="shared" si="42"/>
        <v>0</v>
      </c>
      <c r="M71" s="181">
        <f t="shared" si="43"/>
        <v>0</v>
      </c>
      <c r="N71" s="181">
        <f t="shared" si="44"/>
        <v>0</v>
      </c>
      <c r="O71" s="183"/>
    </row>
    <row r="72" spans="1:15" s="27" customFormat="1" x14ac:dyDescent="0.55000000000000004">
      <c r="A72" s="179"/>
      <c r="B72" s="179"/>
      <c r="C72" s="180" t="s">
        <v>121</v>
      </c>
      <c r="D72" s="181"/>
      <c r="E72" s="181"/>
      <c r="F72" s="181"/>
      <c r="G72" s="16">
        <f t="shared" si="45"/>
        <v>0</v>
      </c>
      <c r="H72" s="182"/>
      <c r="I72" s="182"/>
      <c r="J72" s="182"/>
      <c r="K72" s="181">
        <f t="shared" si="41"/>
        <v>0</v>
      </c>
      <c r="L72" s="181">
        <f t="shared" si="42"/>
        <v>0</v>
      </c>
      <c r="M72" s="181">
        <f t="shared" si="43"/>
        <v>0</v>
      </c>
      <c r="N72" s="181">
        <f t="shared" si="44"/>
        <v>0</v>
      </c>
      <c r="O72" s="183"/>
    </row>
    <row r="73" spans="1:15" s="27" customFormat="1" x14ac:dyDescent="0.55000000000000004">
      <c r="A73" s="179"/>
      <c r="B73" s="179"/>
      <c r="C73" s="180" t="s">
        <v>121</v>
      </c>
      <c r="D73" s="181"/>
      <c r="E73" s="181"/>
      <c r="F73" s="181"/>
      <c r="G73" s="16">
        <f t="shared" si="45"/>
        <v>0</v>
      </c>
      <c r="H73" s="182"/>
      <c r="I73" s="182"/>
      <c r="J73" s="182"/>
      <c r="K73" s="181">
        <f t="shared" si="41"/>
        <v>0</v>
      </c>
      <c r="L73" s="181">
        <f t="shared" si="42"/>
        <v>0</v>
      </c>
      <c r="M73" s="181">
        <f t="shared" si="43"/>
        <v>0</v>
      </c>
      <c r="N73" s="181">
        <f t="shared" si="44"/>
        <v>0</v>
      </c>
      <c r="O73" s="183"/>
    </row>
    <row r="74" spans="1:15" s="27" customFormat="1" ht="28.8" x14ac:dyDescent="0.55000000000000004">
      <c r="A74" s="174"/>
      <c r="B74" s="175" t="s">
        <v>123</v>
      </c>
      <c r="C74" s="175" t="s">
        <v>124</v>
      </c>
      <c r="D74" s="176"/>
      <c r="E74" s="176"/>
      <c r="F74" s="176"/>
      <c r="G74" s="176"/>
      <c r="H74" s="177"/>
      <c r="I74" s="177"/>
      <c r="J74" s="177"/>
      <c r="K74" s="178"/>
      <c r="L74" s="178"/>
      <c r="M74" s="178"/>
      <c r="N74" s="178"/>
      <c r="O74" s="183"/>
    </row>
    <row r="75" spans="1:15" s="27" customFormat="1" x14ac:dyDescent="0.55000000000000004">
      <c r="A75" s="179" t="s">
        <v>97</v>
      </c>
      <c r="B75" s="179" t="s">
        <v>125</v>
      </c>
      <c r="C75" s="180" t="s">
        <v>124</v>
      </c>
      <c r="D75" s="181"/>
      <c r="E75" s="181"/>
      <c r="F75" s="181"/>
      <c r="G75" s="16">
        <f>IFERROR(ROUND(($F75/$E75)-1,3),0)</f>
        <v>0</v>
      </c>
      <c r="H75" s="182"/>
      <c r="I75" s="182"/>
      <c r="J75" s="182"/>
      <c r="K75" s="181">
        <f t="shared" ref="K75:K79" si="46">IFERROR(ROUND((($D75*$H75)+($D75*$I75*0.8)+($D75*$J75*0.9)),2),0)</f>
        <v>0</v>
      </c>
      <c r="L75" s="181">
        <f t="shared" ref="L75:L79" si="47">IFERROR(ROUND((($E75*$H75)+($E75*$I75*0.8)+($E75*$J75*0.9)),2),0)</f>
        <v>0</v>
      </c>
      <c r="M75" s="181">
        <f t="shared" ref="M75:M79" si="48">IFERROR(ROUND((($F75*$H75)+($F75*$I75*0.8)+($F75*$J75*0.9)),2),0)</f>
        <v>0</v>
      </c>
      <c r="N75" s="181">
        <f t="shared" ref="N75:N79" si="49">IFERROR(ROUND($M75-$L75,2),0)</f>
        <v>0</v>
      </c>
      <c r="O75" s="183"/>
    </row>
    <row r="76" spans="1:15" s="27" customFormat="1" x14ac:dyDescent="0.55000000000000004">
      <c r="A76" s="179"/>
      <c r="B76" s="179"/>
      <c r="C76" s="180" t="s">
        <v>124</v>
      </c>
      <c r="D76" s="181"/>
      <c r="E76" s="181"/>
      <c r="F76" s="181"/>
      <c r="G76" s="16">
        <f t="shared" ref="G76:G79" si="50">IFERROR(ROUND(($F76/$E76)-1,3),0)</f>
        <v>0</v>
      </c>
      <c r="H76" s="182"/>
      <c r="I76" s="182"/>
      <c r="J76" s="182"/>
      <c r="K76" s="181">
        <f t="shared" si="46"/>
        <v>0</v>
      </c>
      <c r="L76" s="181">
        <f t="shared" si="47"/>
        <v>0</v>
      </c>
      <c r="M76" s="181">
        <f t="shared" si="48"/>
        <v>0</v>
      </c>
      <c r="N76" s="181">
        <f t="shared" si="49"/>
        <v>0</v>
      </c>
      <c r="O76" s="183"/>
    </row>
    <row r="77" spans="1:15" s="27" customFormat="1" x14ac:dyDescent="0.55000000000000004">
      <c r="A77" s="179"/>
      <c r="B77" s="179"/>
      <c r="C77" s="180" t="s">
        <v>124</v>
      </c>
      <c r="D77" s="181"/>
      <c r="E77" s="181"/>
      <c r="F77" s="181"/>
      <c r="G77" s="16">
        <f t="shared" si="50"/>
        <v>0</v>
      </c>
      <c r="H77" s="182"/>
      <c r="I77" s="182"/>
      <c r="J77" s="182"/>
      <c r="K77" s="181">
        <f t="shared" si="46"/>
        <v>0</v>
      </c>
      <c r="L77" s="181">
        <f t="shared" si="47"/>
        <v>0</v>
      </c>
      <c r="M77" s="181">
        <f t="shared" si="48"/>
        <v>0</v>
      </c>
      <c r="N77" s="181">
        <f t="shared" si="49"/>
        <v>0</v>
      </c>
      <c r="O77" s="183"/>
    </row>
    <row r="78" spans="1:15" s="27" customFormat="1" x14ac:dyDescent="0.55000000000000004">
      <c r="A78" s="179"/>
      <c r="B78" s="179"/>
      <c r="C78" s="180" t="s">
        <v>124</v>
      </c>
      <c r="D78" s="181"/>
      <c r="E78" s="181"/>
      <c r="F78" s="181"/>
      <c r="G78" s="16">
        <f t="shared" si="50"/>
        <v>0</v>
      </c>
      <c r="H78" s="182"/>
      <c r="I78" s="182"/>
      <c r="J78" s="182"/>
      <c r="K78" s="181">
        <f t="shared" si="46"/>
        <v>0</v>
      </c>
      <c r="L78" s="181">
        <f t="shared" si="47"/>
        <v>0</v>
      </c>
      <c r="M78" s="181">
        <f t="shared" si="48"/>
        <v>0</v>
      </c>
      <c r="N78" s="181">
        <f t="shared" si="49"/>
        <v>0</v>
      </c>
      <c r="O78" s="183"/>
    </row>
    <row r="79" spans="1:15" s="27" customFormat="1" x14ac:dyDescent="0.55000000000000004">
      <c r="A79" s="179"/>
      <c r="B79" s="179"/>
      <c r="C79" s="180" t="s">
        <v>124</v>
      </c>
      <c r="D79" s="181"/>
      <c r="E79" s="181"/>
      <c r="F79" s="181"/>
      <c r="G79" s="16">
        <f t="shared" si="50"/>
        <v>0</v>
      </c>
      <c r="H79" s="182"/>
      <c r="I79" s="182"/>
      <c r="J79" s="182"/>
      <c r="K79" s="181">
        <f t="shared" si="46"/>
        <v>0</v>
      </c>
      <c r="L79" s="181">
        <f t="shared" si="47"/>
        <v>0</v>
      </c>
      <c r="M79" s="181">
        <f t="shared" si="48"/>
        <v>0</v>
      </c>
      <c r="N79" s="181">
        <f t="shared" si="49"/>
        <v>0</v>
      </c>
      <c r="O79" s="183"/>
    </row>
    <row r="80" spans="1:15" s="27" customFormat="1" x14ac:dyDescent="0.55000000000000004">
      <c r="A80" s="185"/>
      <c r="B80" s="173"/>
      <c r="C80" s="17"/>
      <c r="D80" s="3"/>
      <c r="E80" s="186"/>
      <c r="F80" s="186"/>
      <c r="G80" s="187"/>
      <c r="H80" s="187"/>
      <c r="I80" s="188"/>
      <c r="J80" s="188"/>
      <c r="K80" s="188"/>
      <c r="L80" s="5"/>
      <c r="M80" s="186"/>
      <c r="N80" s="186"/>
      <c r="O80" s="183"/>
    </row>
    <row r="81" spans="1:15" s="27" customFormat="1" x14ac:dyDescent="0.55000000000000004">
      <c r="A81" s="185"/>
      <c r="B81" s="173"/>
      <c r="C81" s="17"/>
      <c r="D81" s="3"/>
      <c r="E81" s="186"/>
      <c r="F81" s="186"/>
      <c r="G81" s="187"/>
      <c r="H81" s="187"/>
      <c r="I81" s="188"/>
      <c r="J81" s="188"/>
      <c r="K81" s="188"/>
      <c r="L81" s="5"/>
      <c r="M81" s="186"/>
      <c r="N81" s="186"/>
      <c r="O81" s="183"/>
    </row>
    <row r="82" spans="1:15" s="27" customFormat="1" x14ac:dyDescent="0.55000000000000004">
      <c r="A82" s="14"/>
      <c r="B82" s="173"/>
      <c r="C82" s="17"/>
      <c r="D82" s="3"/>
      <c r="E82" s="186"/>
      <c r="F82" s="186"/>
      <c r="G82" s="187"/>
      <c r="H82" s="187"/>
      <c r="I82" s="188"/>
      <c r="J82" s="188"/>
      <c r="K82" s="188"/>
      <c r="L82" s="5"/>
      <c r="M82" s="186"/>
      <c r="N82" s="186"/>
      <c r="O82" s="183"/>
    </row>
    <row r="83" spans="1:15" s="27" customFormat="1" x14ac:dyDescent="0.55000000000000004">
      <c r="A83" s="26"/>
      <c r="C83" s="17"/>
      <c r="D83" s="3"/>
      <c r="E83" s="3"/>
      <c r="F83" s="3"/>
      <c r="G83" s="3"/>
      <c r="H83" s="3"/>
      <c r="I83" s="4"/>
      <c r="J83" s="4"/>
      <c r="K83" s="4"/>
      <c r="L83" s="5"/>
      <c r="M83" s="14"/>
      <c r="N83" s="14"/>
      <c r="O83" s="183"/>
    </row>
    <row r="84" spans="1:15" s="27" customFormat="1" ht="18.3" x14ac:dyDescent="0.55000000000000004">
      <c r="A84" s="377" t="s">
        <v>126</v>
      </c>
      <c r="B84" s="378"/>
      <c r="C84" s="378"/>
      <c r="D84" s="378"/>
      <c r="E84" s="378"/>
      <c r="F84" s="378"/>
      <c r="G84" s="378"/>
      <c r="H84" s="378"/>
      <c r="I84" s="378"/>
      <c r="J84" s="378"/>
      <c r="K84" s="378"/>
      <c r="L84" s="379"/>
      <c r="M84" s="189"/>
      <c r="N84" s="189"/>
      <c r="O84" s="183"/>
    </row>
    <row r="85" spans="1:15" s="27" customFormat="1" ht="18.3" x14ac:dyDescent="0.55000000000000004">
      <c r="A85" s="380"/>
      <c r="B85" s="381"/>
      <c r="C85" s="381"/>
      <c r="D85" s="381"/>
      <c r="E85" s="381"/>
      <c r="F85" s="381"/>
      <c r="G85" s="381"/>
      <c r="H85" s="381"/>
      <c r="I85" s="381"/>
      <c r="J85" s="381"/>
      <c r="K85" s="381"/>
      <c r="L85" s="382"/>
      <c r="M85" s="189"/>
      <c r="N85" s="189"/>
      <c r="O85" s="183"/>
    </row>
    <row r="86" spans="1:15" s="27" customFormat="1" x14ac:dyDescent="0.55000000000000004">
      <c r="A86" s="167"/>
      <c r="B86" s="167"/>
      <c r="C86" s="167"/>
      <c r="D86" s="167"/>
      <c r="E86" s="167"/>
      <c r="F86" s="167"/>
      <c r="G86" s="167"/>
      <c r="H86" s="167"/>
      <c r="I86" s="167"/>
      <c r="J86" s="167"/>
      <c r="K86" s="167"/>
      <c r="L86" s="167"/>
      <c r="M86" s="167"/>
      <c r="N86" s="167"/>
      <c r="O86" s="183"/>
    </row>
    <row r="87" spans="1:15" s="27" customFormat="1" ht="15.6" x14ac:dyDescent="0.6">
      <c r="A87" s="14"/>
      <c r="B87" s="26"/>
      <c r="D87" s="17"/>
      <c r="E87" s="169"/>
      <c r="F87" s="169"/>
      <c r="G87" s="169"/>
      <c r="H87" s="169"/>
      <c r="I87" s="374" t="s">
        <v>127</v>
      </c>
      <c r="J87" s="375"/>
      <c r="K87" s="376"/>
      <c r="L87" s="14"/>
      <c r="M87" s="50"/>
      <c r="N87" s="14"/>
      <c r="O87" s="183"/>
    </row>
    <row r="88" spans="1:15" s="27" customFormat="1" ht="96.75" customHeight="1" x14ac:dyDescent="0.55000000000000004">
      <c r="A88" s="171" t="s">
        <v>86</v>
      </c>
      <c r="B88" s="171" t="s">
        <v>87</v>
      </c>
      <c r="C88" s="292" t="s">
        <v>88</v>
      </c>
      <c r="D88" s="172" t="str">
        <f>CONCATENATE("Rate at Last PCI Update",CHAR(10)," (",'Factor Dev'!$S$19,")")</f>
        <v>Rate at Last PCI Update
 (October 1, 2023)</v>
      </c>
      <c r="E88" s="172" t="str">
        <f>CONCATENATE("Current Rate",CHAR(10)," (",'Factor Dev'!$Z$19,")")</f>
        <v>Current Rate
 (July 1, 2024)</v>
      </c>
      <c r="F88" s="172" t="str">
        <f>CONCATENATE("Proposed Rate",CHAR(10)," (",'Factor Dev'!$AA$19,")")</f>
        <v>Proposed Rate
 (July 2, 2024)</v>
      </c>
      <c r="G88" s="172" t="s">
        <v>91</v>
      </c>
      <c r="H88" s="293" t="str">
        <f>CONCATENATE("Cumulative Demand Over Base Period",CHAR(10)," (Calendar Year ",DemandYear,")")</f>
        <v>Cumulative Demand Over Base Period
 (Calendar Year 2023)</v>
      </c>
      <c r="I88" s="172" t="str">
        <f>CONCATENATE("Rate at Last PCI Update",CHAR(10)," (",'Factor Dev'!$S$19,")")</f>
        <v>Rate at Last PCI Update
 (October 1, 2023)</v>
      </c>
      <c r="J88" s="172" t="str">
        <f>CONCATENATE("Current Rate",CHAR(10)," (",'Factor Dev'!$Z$19,")")</f>
        <v>Current Rate
 (July 1, 2024)</v>
      </c>
      <c r="K88" s="172" t="str">
        <f>CONCATENATE("Proposed Rate",CHAR(10)," (",'Factor Dev'!$AA$19,")")</f>
        <v>Proposed Rate
 (July 2, 2024)</v>
      </c>
      <c r="L88" s="172" t="s">
        <v>128</v>
      </c>
      <c r="M88" s="14"/>
      <c r="N88" s="14"/>
      <c r="O88" s="183"/>
    </row>
    <row r="89" spans="1:15" s="27" customFormat="1" x14ac:dyDescent="0.55000000000000004">
      <c r="A89" s="191"/>
      <c r="B89" s="192"/>
      <c r="C89" s="193" t="str">
        <f>"Col "&amp;COLUMN(C89)+71</f>
        <v>Col 74</v>
      </c>
      <c r="D89" s="193" t="str">
        <f t="shared" ref="D89:L89" si="51">"Col "&amp;COLUMN(D89)+71</f>
        <v>Col 75</v>
      </c>
      <c r="E89" s="193" t="str">
        <f t="shared" si="51"/>
        <v>Col 76</v>
      </c>
      <c r="F89" s="193" t="str">
        <f t="shared" si="51"/>
        <v>Col 77</v>
      </c>
      <c r="G89" s="193" t="str">
        <f t="shared" si="51"/>
        <v>Col 78</v>
      </c>
      <c r="H89" s="193" t="str">
        <f t="shared" si="51"/>
        <v>Col 79</v>
      </c>
      <c r="I89" s="193" t="str">
        <f t="shared" si="51"/>
        <v>Col 80</v>
      </c>
      <c r="J89" s="193" t="str">
        <f t="shared" si="51"/>
        <v>Col 81</v>
      </c>
      <c r="K89" s="193" t="str">
        <f t="shared" si="51"/>
        <v>Col 82</v>
      </c>
      <c r="L89" s="193" t="str">
        <f t="shared" si="51"/>
        <v>Col 83</v>
      </c>
      <c r="M89" s="14"/>
      <c r="N89" s="14"/>
      <c r="O89" s="183"/>
    </row>
    <row r="90" spans="1:15" s="27" customFormat="1" ht="38.25" customHeight="1" x14ac:dyDescent="0.55000000000000004">
      <c r="A90" s="171" t="s">
        <v>67</v>
      </c>
      <c r="B90" s="171" t="s">
        <v>67</v>
      </c>
      <c r="C90" s="15" t="s">
        <v>67</v>
      </c>
      <c r="D90" s="172" t="s">
        <v>67</v>
      </c>
      <c r="E90" s="172" t="s">
        <v>67</v>
      </c>
      <c r="F90" s="172" t="s">
        <v>67</v>
      </c>
      <c r="G90" s="172" t="str">
        <f>"("&amp;F89&amp;" / "&amp;D89&amp;") - 1"</f>
        <v>(Col 77 / Col 75) - 1</v>
      </c>
      <c r="H90" s="172" t="s">
        <v>67</v>
      </c>
      <c r="I90" s="194" t="str">
        <f>D89&amp;" x "&amp;H89</f>
        <v>Col 75 x Col 79</v>
      </c>
      <c r="J90" s="194" t="str">
        <f>E89&amp;" x "&amp;H89</f>
        <v>Col 76 x Col 79</v>
      </c>
      <c r="K90" s="194" t="str">
        <f>F89&amp;" x "&amp;H89</f>
        <v>Col 77 x Col 79</v>
      </c>
      <c r="L90" s="195" t="str">
        <f>K89&amp;" - "&amp;J89</f>
        <v>Col 82 - Col 81</v>
      </c>
    </row>
    <row r="91" spans="1:15" s="27" customFormat="1" x14ac:dyDescent="0.55000000000000004">
      <c r="A91" s="174"/>
      <c r="B91" s="175" t="s">
        <v>95</v>
      </c>
      <c r="C91" s="175" t="s">
        <v>96</v>
      </c>
      <c r="D91" s="176"/>
      <c r="E91" s="176"/>
      <c r="F91" s="176"/>
      <c r="G91" s="176"/>
      <c r="H91" s="177"/>
      <c r="I91" s="177"/>
      <c r="J91" s="177"/>
      <c r="K91" s="178"/>
      <c r="L91" s="178"/>
    </row>
    <row r="92" spans="1:15" s="27" customFormat="1" x14ac:dyDescent="0.55000000000000004">
      <c r="A92" s="179" t="s">
        <v>97</v>
      </c>
      <c r="B92" s="179" t="s">
        <v>129</v>
      </c>
      <c r="C92" s="180" t="s">
        <v>96</v>
      </c>
      <c r="D92" s="181"/>
      <c r="E92" s="181"/>
      <c r="F92" s="181"/>
      <c r="G92" s="202">
        <f>IFERROR(ROUND((F92/D92)-1,3),0)</f>
        <v>0</v>
      </c>
      <c r="H92" s="196"/>
      <c r="I92" s="197">
        <f>IFERROR(ROUND($D92*$H92,2),0)</f>
        <v>0</v>
      </c>
      <c r="J92" s="197">
        <f>IFERROR(ROUND($E92*$H92,2),0)</f>
        <v>0</v>
      </c>
      <c r="K92" s="197">
        <f>IFERROR(ROUND($F92*$H92,2),0)</f>
        <v>0</v>
      </c>
      <c r="L92" s="197">
        <f>IFERROR(ROUND(K92-J92,2),0)</f>
        <v>0</v>
      </c>
    </row>
    <row r="93" spans="1:15" s="27" customFormat="1" x14ac:dyDescent="0.55000000000000004">
      <c r="A93" s="179"/>
      <c r="B93" s="179"/>
      <c r="C93" s="180" t="s">
        <v>96</v>
      </c>
      <c r="D93" s="181"/>
      <c r="E93" s="181"/>
      <c r="F93" s="181"/>
      <c r="G93" s="202">
        <f>IFERROR(ROUND((F93/D93)-1,3),0)</f>
        <v>0</v>
      </c>
      <c r="H93" s="196"/>
      <c r="I93" s="197">
        <f>IFERROR(ROUND($D93*$H93,2),0)</f>
        <v>0</v>
      </c>
      <c r="J93" s="197">
        <f>IFERROR(ROUND($E93*$H93,2),0)</f>
        <v>0</v>
      </c>
      <c r="K93" s="197">
        <f>IFERROR(ROUND($F93*$H93,2),0)</f>
        <v>0</v>
      </c>
      <c r="L93" s="197">
        <f>IFERROR(ROUND(K93-J93,2),0)</f>
        <v>0</v>
      </c>
    </row>
    <row r="94" spans="1:15" s="27" customFormat="1" x14ac:dyDescent="0.55000000000000004">
      <c r="A94" s="179"/>
      <c r="B94" s="179"/>
      <c r="C94" s="180" t="s">
        <v>96</v>
      </c>
      <c r="D94" s="181"/>
      <c r="E94" s="181"/>
      <c r="F94" s="181"/>
      <c r="G94" s="202">
        <f t="shared" ref="G94:G96" si="52">IFERROR(ROUND((F94/D94)-1,3),0)</f>
        <v>0</v>
      </c>
      <c r="H94" s="196"/>
      <c r="I94" s="197">
        <f t="shared" ref="I94:I96" si="53">IFERROR(ROUND($D94*$H94,2),0)</f>
        <v>0</v>
      </c>
      <c r="J94" s="197">
        <f t="shared" ref="J94:J96" si="54">IFERROR(ROUND($E94*$H94,2),0)</f>
        <v>0</v>
      </c>
      <c r="K94" s="197">
        <f t="shared" ref="K94:K96" si="55">IFERROR(ROUND($F94*$H94,2),0)</f>
        <v>0</v>
      </c>
      <c r="L94" s="197">
        <f t="shared" ref="L94:L96" si="56">IFERROR(ROUND(K94-J94,2),0)</f>
        <v>0</v>
      </c>
    </row>
    <row r="95" spans="1:15" s="27" customFormat="1" x14ac:dyDescent="0.55000000000000004">
      <c r="A95" s="179"/>
      <c r="B95" s="179"/>
      <c r="C95" s="180" t="s">
        <v>96</v>
      </c>
      <c r="D95" s="181"/>
      <c r="E95" s="181"/>
      <c r="F95" s="181"/>
      <c r="G95" s="202">
        <f t="shared" si="52"/>
        <v>0</v>
      </c>
      <c r="H95" s="196"/>
      <c r="I95" s="197">
        <f t="shared" si="53"/>
        <v>0</v>
      </c>
      <c r="J95" s="197">
        <f t="shared" si="54"/>
        <v>0</v>
      </c>
      <c r="K95" s="197">
        <f t="shared" si="55"/>
        <v>0</v>
      </c>
      <c r="L95" s="197">
        <f t="shared" si="56"/>
        <v>0</v>
      </c>
    </row>
    <row r="96" spans="1:15" s="27" customFormat="1" x14ac:dyDescent="0.55000000000000004">
      <c r="A96" s="179"/>
      <c r="B96" s="179"/>
      <c r="C96" s="180" t="s">
        <v>96</v>
      </c>
      <c r="D96" s="181"/>
      <c r="E96" s="181"/>
      <c r="F96" s="181"/>
      <c r="G96" s="202">
        <f t="shared" si="52"/>
        <v>0</v>
      </c>
      <c r="H96" s="196"/>
      <c r="I96" s="197">
        <f t="shared" si="53"/>
        <v>0</v>
      </c>
      <c r="J96" s="197">
        <f t="shared" si="54"/>
        <v>0</v>
      </c>
      <c r="K96" s="197">
        <f t="shared" si="55"/>
        <v>0</v>
      </c>
      <c r="L96" s="197">
        <f t="shared" si="56"/>
        <v>0</v>
      </c>
    </row>
    <row r="97" spans="1:12" s="27" customFormat="1" x14ac:dyDescent="0.55000000000000004">
      <c r="A97" s="174"/>
      <c r="B97" s="175" t="s">
        <v>99</v>
      </c>
      <c r="C97" s="175" t="s">
        <v>100</v>
      </c>
      <c r="D97" s="176"/>
      <c r="E97" s="176"/>
      <c r="F97" s="176"/>
      <c r="G97" s="176"/>
      <c r="H97" s="177"/>
      <c r="I97" s="177"/>
      <c r="J97" s="177"/>
      <c r="K97" s="178"/>
      <c r="L97" s="178"/>
    </row>
    <row r="98" spans="1:12" s="27" customFormat="1" x14ac:dyDescent="0.55000000000000004">
      <c r="A98" s="179" t="s">
        <v>97</v>
      </c>
      <c r="B98" s="184" t="s">
        <v>130</v>
      </c>
      <c r="C98" s="180" t="s">
        <v>100</v>
      </c>
      <c r="D98" s="181"/>
      <c r="E98" s="181"/>
      <c r="F98" s="181"/>
      <c r="G98" s="202">
        <f>IFERROR(ROUND((F98/D98)-1,3),0)</f>
        <v>0</v>
      </c>
      <c r="H98" s="196"/>
      <c r="I98" s="197">
        <f>IFERROR(ROUND($D98*$H98,2),0)</f>
        <v>0</v>
      </c>
      <c r="J98" s="197">
        <f>IFERROR(ROUND($E98*$H98,2),0)</f>
        <v>0</v>
      </c>
      <c r="K98" s="197">
        <f>IFERROR(ROUND($F98*$H98,2),0)</f>
        <v>0</v>
      </c>
      <c r="L98" s="197">
        <f>IFERROR(ROUND(K98-J98,2),0)</f>
        <v>0</v>
      </c>
    </row>
    <row r="99" spans="1:12" s="27" customFormat="1" x14ac:dyDescent="0.55000000000000004">
      <c r="A99" s="179"/>
      <c r="B99" s="179"/>
      <c r="C99" s="180" t="s">
        <v>100</v>
      </c>
      <c r="D99" s="181"/>
      <c r="E99" s="181"/>
      <c r="F99" s="181"/>
      <c r="G99" s="202">
        <f>IFERROR(ROUND((F99/D99)-1,3),0)</f>
        <v>0</v>
      </c>
      <c r="H99" s="196"/>
      <c r="I99" s="197">
        <f>IFERROR(ROUND($D99*$H99,2),0)</f>
        <v>0</v>
      </c>
      <c r="J99" s="197">
        <f>IFERROR(ROUND($E99*$H99,2),0)</f>
        <v>0</v>
      </c>
      <c r="K99" s="197">
        <f>IFERROR(ROUND($F99*$H99,2),0)</f>
        <v>0</v>
      </c>
      <c r="L99" s="197">
        <f>IFERROR(ROUND(K99-J99,2),0)</f>
        <v>0</v>
      </c>
    </row>
    <row r="100" spans="1:12" s="27" customFormat="1" x14ac:dyDescent="0.55000000000000004">
      <c r="A100" s="179"/>
      <c r="B100" s="179"/>
      <c r="C100" s="180" t="s">
        <v>100</v>
      </c>
      <c r="D100" s="181"/>
      <c r="E100" s="181"/>
      <c r="F100" s="181"/>
      <c r="G100" s="202">
        <f t="shared" ref="G100:G102" si="57">IFERROR(ROUND((F100/D100)-1,3),0)</f>
        <v>0</v>
      </c>
      <c r="H100" s="196"/>
      <c r="I100" s="197">
        <f t="shared" ref="I100:I102" si="58">IFERROR(ROUND($D100*$H100,2),0)</f>
        <v>0</v>
      </c>
      <c r="J100" s="197">
        <f t="shared" ref="J100:J102" si="59">IFERROR(ROUND($E100*$H100,2),0)</f>
        <v>0</v>
      </c>
      <c r="K100" s="197">
        <f t="shared" ref="K100:K102" si="60">IFERROR(ROUND($F100*$H100,2),0)</f>
        <v>0</v>
      </c>
      <c r="L100" s="197">
        <f t="shared" ref="L100:L102" si="61">IFERROR(ROUND(K100-J100,2),0)</f>
        <v>0</v>
      </c>
    </row>
    <row r="101" spans="1:12" s="27" customFormat="1" x14ac:dyDescent="0.55000000000000004">
      <c r="A101" s="179"/>
      <c r="B101" s="179"/>
      <c r="C101" s="180" t="s">
        <v>100</v>
      </c>
      <c r="D101" s="181"/>
      <c r="E101" s="181"/>
      <c r="F101" s="181"/>
      <c r="G101" s="202">
        <f t="shared" si="57"/>
        <v>0</v>
      </c>
      <c r="H101" s="196"/>
      <c r="I101" s="197">
        <f t="shared" si="58"/>
        <v>0</v>
      </c>
      <c r="J101" s="197">
        <f t="shared" si="59"/>
        <v>0</v>
      </c>
      <c r="K101" s="197">
        <f t="shared" si="60"/>
        <v>0</v>
      </c>
      <c r="L101" s="197">
        <f t="shared" si="61"/>
        <v>0</v>
      </c>
    </row>
    <row r="102" spans="1:12" s="27" customFormat="1" x14ac:dyDescent="0.55000000000000004">
      <c r="A102" s="179"/>
      <c r="B102" s="179"/>
      <c r="C102" s="180" t="s">
        <v>100</v>
      </c>
      <c r="D102" s="181"/>
      <c r="E102" s="181"/>
      <c r="F102" s="181"/>
      <c r="G102" s="202">
        <f t="shared" si="57"/>
        <v>0</v>
      </c>
      <c r="H102" s="196"/>
      <c r="I102" s="197">
        <f t="shared" si="58"/>
        <v>0</v>
      </c>
      <c r="J102" s="197">
        <f t="shared" si="59"/>
        <v>0</v>
      </c>
      <c r="K102" s="197">
        <f t="shared" si="60"/>
        <v>0</v>
      </c>
      <c r="L102" s="197">
        <f t="shared" si="61"/>
        <v>0</v>
      </c>
    </row>
    <row r="103" spans="1:12" s="27" customFormat="1" x14ac:dyDescent="0.55000000000000004">
      <c r="A103" s="174"/>
      <c r="B103" s="175" t="s">
        <v>102</v>
      </c>
      <c r="C103" s="175" t="s">
        <v>103</v>
      </c>
      <c r="D103" s="176"/>
      <c r="E103" s="176"/>
      <c r="F103" s="176"/>
      <c r="G103" s="176"/>
      <c r="H103" s="177"/>
      <c r="I103" s="177"/>
      <c r="J103" s="177"/>
      <c r="K103" s="178"/>
      <c r="L103" s="178"/>
    </row>
    <row r="104" spans="1:12" s="27" customFormat="1" x14ac:dyDescent="0.55000000000000004">
      <c r="A104" s="179" t="s">
        <v>97</v>
      </c>
      <c r="B104" s="179" t="s">
        <v>131</v>
      </c>
      <c r="C104" s="180" t="s">
        <v>103</v>
      </c>
      <c r="D104" s="181"/>
      <c r="E104" s="181"/>
      <c r="F104" s="181"/>
      <c r="G104" s="202">
        <f t="shared" ref="G104" si="62">IFERROR(ROUND((F104/D104)-1,3),0)</f>
        <v>0</v>
      </c>
      <c r="H104" s="196"/>
      <c r="I104" s="197">
        <f t="shared" ref="I104" si="63">IFERROR(ROUND($D104*$H104,2),0)</f>
        <v>0</v>
      </c>
      <c r="J104" s="197">
        <f t="shared" ref="J104" si="64">IFERROR(ROUND($E104*$H104,2),0)</f>
        <v>0</v>
      </c>
      <c r="K104" s="197">
        <f t="shared" ref="K104" si="65">IFERROR(ROUND($F104*$H104,2),0)</f>
        <v>0</v>
      </c>
      <c r="L104" s="197">
        <f t="shared" ref="L104" si="66">IFERROR(ROUND(K104-J104,2),0)</f>
        <v>0</v>
      </c>
    </row>
    <row r="105" spans="1:12" s="27" customFormat="1" x14ac:dyDescent="0.55000000000000004">
      <c r="A105" s="179"/>
      <c r="B105" s="179"/>
      <c r="C105" s="180" t="s">
        <v>103</v>
      </c>
      <c r="D105" s="181"/>
      <c r="E105" s="181"/>
      <c r="F105" s="181"/>
      <c r="G105" s="202">
        <f>IFERROR(ROUND((F105/D105)-1,3),0)</f>
        <v>0</v>
      </c>
      <c r="H105" s="196"/>
      <c r="I105" s="197">
        <f>IFERROR(ROUND($D105*$H105,2),0)</f>
        <v>0</v>
      </c>
      <c r="J105" s="197">
        <f>IFERROR(ROUND($E105*$H105,2),0)</f>
        <v>0</v>
      </c>
      <c r="K105" s="197">
        <f>IFERROR(ROUND($F105*$H105,2),0)</f>
        <v>0</v>
      </c>
      <c r="L105" s="197">
        <f>IFERROR(ROUND(K105-J105,2),0)</f>
        <v>0</v>
      </c>
    </row>
    <row r="106" spans="1:12" s="27" customFormat="1" x14ac:dyDescent="0.55000000000000004">
      <c r="A106" s="179"/>
      <c r="B106" s="179"/>
      <c r="C106" s="180" t="s">
        <v>103</v>
      </c>
      <c r="D106" s="181"/>
      <c r="E106" s="181"/>
      <c r="F106" s="181"/>
      <c r="G106" s="202">
        <f t="shared" ref="G106:G108" si="67">IFERROR(ROUND((F106/D106)-1,3),0)</f>
        <v>0</v>
      </c>
      <c r="H106" s="196"/>
      <c r="I106" s="197">
        <f t="shared" ref="I106:I108" si="68">IFERROR(ROUND($D106*$H106,2),0)</f>
        <v>0</v>
      </c>
      <c r="J106" s="197">
        <f t="shared" ref="J106:J108" si="69">IFERROR(ROUND($E106*$H106,2),0)</f>
        <v>0</v>
      </c>
      <c r="K106" s="197">
        <f t="shared" ref="K106:K108" si="70">IFERROR(ROUND($F106*$H106,2),0)</f>
        <v>0</v>
      </c>
      <c r="L106" s="197">
        <f t="shared" ref="L106:L108" si="71">IFERROR(ROUND(K106-J106,2),0)</f>
        <v>0</v>
      </c>
    </row>
    <row r="107" spans="1:12" s="27" customFormat="1" x14ac:dyDescent="0.55000000000000004">
      <c r="A107" s="179"/>
      <c r="B107" s="179"/>
      <c r="C107" s="180" t="s">
        <v>103</v>
      </c>
      <c r="D107" s="181"/>
      <c r="E107" s="181"/>
      <c r="F107" s="181"/>
      <c r="G107" s="202">
        <f t="shared" si="67"/>
        <v>0</v>
      </c>
      <c r="H107" s="196"/>
      <c r="I107" s="197">
        <f t="shared" si="68"/>
        <v>0</v>
      </c>
      <c r="J107" s="197">
        <f t="shared" si="69"/>
        <v>0</v>
      </c>
      <c r="K107" s="197">
        <f t="shared" si="70"/>
        <v>0</v>
      </c>
      <c r="L107" s="197">
        <f t="shared" si="71"/>
        <v>0</v>
      </c>
    </row>
    <row r="108" spans="1:12" s="27" customFormat="1" x14ac:dyDescent="0.55000000000000004">
      <c r="A108" s="179"/>
      <c r="B108" s="179"/>
      <c r="C108" s="180" t="s">
        <v>103</v>
      </c>
      <c r="D108" s="181"/>
      <c r="E108" s="181"/>
      <c r="F108" s="181"/>
      <c r="G108" s="202">
        <f t="shared" si="67"/>
        <v>0</v>
      </c>
      <c r="H108" s="196"/>
      <c r="I108" s="197">
        <f t="shared" si="68"/>
        <v>0</v>
      </c>
      <c r="J108" s="197">
        <f t="shared" si="69"/>
        <v>0</v>
      </c>
      <c r="K108" s="197">
        <f t="shared" si="70"/>
        <v>0</v>
      </c>
      <c r="L108" s="197">
        <f t="shared" si="71"/>
        <v>0</v>
      </c>
    </row>
    <row r="109" spans="1:12" s="27" customFormat="1" x14ac:dyDescent="0.55000000000000004">
      <c r="A109" s="174"/>
      <c r="B109" s="175" t="s">
        <v>105</v>
      </c>
      <c r="C109" s="175" t="s">
        <v>106</v>
      </c>
      <c r="D109" s="176"/>
      <c r="E109" s="176"/>
      <c r="F109" s="176"/>
      <c r="G109" s="176"/>
      <c r="H109" s="177"/>
      <c r="I109" s="177"/>
      <c r="J109" s="177"/>
      <c r="K109" s="178"/>
      <c r="L109" s="178"/>
    </row>
    <row r="110" spans="1:12" x14ac:dyDescent="0.55000000000000004">
      <c r="A110" s="179" t="s">
        <v>97</v>
      </c>
      <c r="B110" s="179" t="s">
        <v>132</v>
      </c>
      <c r="C110" s="180" t="s">
        <v>106</v>
      </c>
      <c r="D110" s="181"/>
      <c r="E110" s="181"/>
      <c r="F110" s="181"/>
      <c r="G110" s="202">
        <f t="shared" ref="G110" si="72">IFERROR(ROUND((F110/D110)-1,3),0)</f>
        <v>0</v>
      </c>
      <c r="H110" s="196"/>
      <c r="I110" s="197">
        <f t="shared" ref="I110" si="73">IFERROR(ROUND($D110*$H110,2),0)</f>
        <v>0</v>
      </c>
      <c r="J110" s="197">
        <f t="shared" ref="J110" si="74">IFERROR(ROUND($E110*$H110,2),0)</f>
        <v>0</v>
      </c>
      <c r="K110" s="197">
        <f t="shared" ref="K110" si="75">IFERROR(ROUND($F110*$H110,2),0)</f>
        <v>0</v>
      </c>
      <c r="L110" s="197">
        <f t="shared" ref="L110" si="76">IFERROR(ROUND(K110-J110,2),0)</f>
        <v>0</v>
      </c>
    </row>
    <row r="111" spans="1:12" s="27" customFormat="1" x14ac:dyDescent="0.55000000000000004">
      <c r="A111" s="179"/>
      <c r="B111" s="179"/>
      <c r="C111" s="180" t="s">
        <v>106</v>
      </c>
      <c r="D111" s="181"/>
      <c r="E111" s="181"/>
      <c r="F111" s="181"/>
      <c r="G111" s="202">
        <f>IFERROR(ROUND((F111/D111)-1,3),0)</f>
        <v>0</v>
      </c>
      <c r="H111" s="196"/>
      <c r="I111" s="197">
        <f>IFERROR(ROUND($D111*$H111,2),0)</f>
        <v>0</v>
      </c>
      <c r="J111" s="197">
        <f>IFERROR(ROUND($E111*$H111,2),0)</f>
        <v>0</v>
      </c>
      <c r="K111" s="197">
        <f>IFERROR(ROUND($F111*$H111,2),0)</f>
        <v>0</v>
      </c>
      <c r="L111" s="197">
        <f>IFERROR(ROUND(K111-J111,2),0)</f>
        <v>0</v>
      </c>
    </row>
    <row r="112" spans="1:12" s="27" customFormat="1" x14ac:dyDescent="0.55000000000000004">
      <c r="A112" s="179"/>
      <c r="B112" s="179"/>
      <c r="C112" s="180" t="s">
        <v>106</v>
      </c>
      <c r="D112" s="181"/>
      <c r="E112" s="181"/>
      <c r="F112" s="181"/>
      <c r="G112" s="202">
        <f t="shared" ref="G112:G114" si="77">IFERROR(ROUND((F112/D112)-1,3),0)</f>
        <v>0</v>
      </c>
      <c r="H112" s="196"/>
      <c r="I112" s="197">
        <f t="shared" ref="I112:I114" si="78">IFERROR(ROUND($D112*$H112,2),0)</f>
        <v>0</v>
      </c>
      <c r="J112" s="197">
        <f t="shared" ref="J112:J114" si="79">IFERROR(ROUND($E112*$H112,2),0)</f>
        <v>0</v>
      </c>
      <c r="K112" s="197">
        <f t="shared" ref="K112:K114" si="80">IFERROR(ROUND($F112*$H112,2),0)</f>
        <v>0</v>
      </c>
      <c r="L112" s="197">
        <f t="shared" ref="L112:L114" si="81">IFERROR(ROUND(K112-J112,2),0)</f>
        <v>0</v>
      </c>
    </row>
    <row r="113" spans="1:12" s="27" customFormat="1" x14ac:dyDescent="0.55000000000000004">
      <c r="A113" s="179"/>
      <c r="B113" s="179"/>
      <c r="C113" s="180" t="s">
        <v>106</v>
      </c>
      <c r="D113" s="181"/>
      <c r="E113" s="181"/>
      <c r="F113" s="181"/>
      <c r="G113" s="202">
        <f t="shared" si="77"/>
        <v>0</v>
      </c>
      <c r="H113" s="196"/>
      <c r="I113" s="197">
        <f t="shared" si="78"/>
        <v>0</v>
      </c>
      <c r="J113" s="197">
        <f t="shared" si="79"/>
        <v>0</v>
      </c>
      <c r="K113" s="197">
        <f t="shared" si="80"/>
        <v>0</v>
      </c>
      <c r="L113" s="197">
        <f t="shared" si="81"/>
        <v>0</v>
      </c>
    </row>
    <row r="114" spans="1:12" s="27" customFormat="1" x14ac:dyDescent="0.55000000000000004">
      <c r="A114" s="179"/>
      <c r="B114" s="179"/>
      <c r="C114" s="180" t="s">
        <v>106</v>
      </c>
      <c r="D114" s="181"/>
      <c r="E114" s="181"/>
      <c r="F114" s="181"/>
      <c r="G114" s="202">
        <f t="shared" si="77"/>
        <v>0</v>
      </c>
      <c r="H114" s="196"/>
      <c r="I114" s="197">
        <f t="shared" si="78"/>
        <v>0</v>
      </c>
      <c r="J114" s="197">
        <f t="shared" si="79"/>
        <v>0</v>
      </c>
      <c r="K114" s="197">
        <f t="shared" si="80"/>
        <v>0</v>
      </c>
      <c r="L114" s="197">
        <f t="shared" si="81"/>
        <v>0</v>
      </c>
    </row>
    <row r="115" spans="1:12" x14ac:dyDescent="0.55000000000000004">
      <c r="A115" s="174"/>
      <c r="B115" s="175" t="s">
        <v>108</v>
      </c>
      <c r="C115" s="175" t="s">
        <v>109</v>
      </c>
      <c r="D115" s="176"/>
      <c r="E115" s="176"/>
      <c r="F115" s="176"/>
      <c r="G115" s="176"/>
      <c r="H115" s="177"/>
      <c r="I115" s="177"/>
      <c r="J115" s="177"/>
      <c r="K115" s="178"/>
      <c r="L115" s="178"/>
    </row>
    <row r="116" spans="1:12" ht="14.5" customHeight="1" x14ac:dyDescent="0.55000000000000004">
      <c r="A116" s="179" t="s">
        <v>97</v>
      </c>
      <c r="B116" s="179" t="s">
        <v>110</v>
      </c>
      <c r="C116" s="180" t="s">
        <v>109</v>
      </c>
      <c r="D116" s="181"/>
      <c r="E116" s="181"/>
      <c r="F116" s="181"/>
      <c r="G116" s="202">
        <f t="shared" ref="G116" si="82">IFERROR(ROUND((F116/D116)-1,3),0)</f>
        <v>0</v>
      </c>
      <c r="H116" s="196"/>
      <c r="I116" s="197">
        <f t="shared" ref="I116" si="83">IFERROR(ROUND($D116*$H116,2),0)</f>
        <v>0</v>
      </c>
      <c r="J116" s="197">
        <f t="shared" ref="J116" si="84">IFERROR(ROUND($E116*$H116,2),0)</f>
        <v>0</v>
      </c>
      <c r="K116" s="197">
        <f t="shared" ref="K116" si="85">IFERROR(ROUND($F116*$H116,2),0)</f>
        <v>0</v>
      </c>
      <c r="L116" s="197">
        <f t="shared" ref="L116" si="86">IFERROR(ROUND(K116-J116,2),0)</f>
        <v>0</v>
      </c>
    </row>
    <row r="117" spans="1:12" s="27" customFormat="1" x14ac:dyDescent="0.55000000000000004">
      <c r="A117" s="179"/>
      <c r="B117" s="179"/>
      <c r="C117" s="180" t="s">
        <v>109</v>
      </c>
      <c r="D117" s="181"/>
      <c r="E117" s="181"/>
      <c r="F117" s="181"/>
      <c r="G117" s="202">
        <f>IFERROR(ROUND((F117/D117)-1,3),0)</f>
        <v>0</v>
      </c>
      <c r="H117" s="196"/>
      <c r="I117" s="197">
        <f>IFERROR(ROUND($D117*$H117,2),0)</f>
        <v>0</v>
      </c>
      <c r="J117" s="197">
        <f>IFERROR(ROUND($E117*$H117,2),0)</f>
        <v>0</v>
      </c>
      <c r="K117" s="197">
        <f>IFERROR(ROUND($F117*$H117,2),0)</f>
        <v>0</v>
      </c>
      <c r="L117" s="197">
        <f>IFERROR(ROUND(K117-J117,2),0)</f>
        <v>0</v>
      </c>
    </row>
    <row r="118" spans="1:12" s="27" customFormat="1" x14ac:dyDescent="0.55000000000000004">
      <c r="A118" s="179"/>
      <c r="B118" s="179"/>
      <c r="C118" s="180" t="s">
        <v>109</v>
      </c>
      <c r="D118" s="181"/>
      <c r="E118" s="181"/>
      <c r="F118" s="181"/>
      <c r="G118" s="202">
        <f t="shared" ref="G118:G120" si="87">IFERROR(ROUND((F118/D118)-1,3),0)</f>
        <v>0</v>
      </c>
      <c r="H118" s="196"/>
      <c r="I118" s="197">
        <f t="shared" ref="I118:I120" si="88">IFERROR(ROUND($D118*$H118,2),0)</f>
        <v>0</v>
      </c>
      <c r="J118" s="197">
        <f t="shared" ref="J118:J120" si="89">IFERROR(ROUND($E118*$H118,2),0)</f>
        <v>0</v>
      </c>
      <c r="K118" s="197">
        <f t="shared" ref="K118:K120" si="90">IFERROR(ROUND($F118*$H118,2),0)</f>
        <v>0</v>
      </c>
      <c r="L118" s="197">
        <f t="shared" ref="L118:L120" si="91">IFERROR(ROUND(K118-J118,2),0)</f>
        <v>0</v>
      </c>
    </row>
    <row r="119" spans="1:12" s="27" customFormat="1" x14ac:dyDescent="0.55000000000000004">
      <c r="A119" s="179"/>
      <c r="B119" s="179"/>
      <c r="C119" s="180" t="s">
        <v>109</v>
      </c>
      <c r="D119" s="181"/>
      <c r="E119" s="181"/>
      <c r="F119" s="181"/>
      <c r="G119" s="202">
        <f t="shared" si="87"/>
        <v>0</v>
      </c>
      <c r="H119" s="196"/>
      <c r="I119" s="197">
        <f t="shared" si="88"/>
        <v>0</v>
      </c>
      <c r="J119" s="197">
        <f t="shared" si="89"/>
        <v>0</v>
      </c>
      <c r="K119" s="197">
        <f t="shared" si="90"/>
        <v>0</v>
      </c>
      <c r="L119" s="197">
        <f t="shared" si="91"/>
        <v>0</v>
      </c>
    </row>
    <row r="120" spans="1:12" s="27" customFormat="1" x14ac:dyDescent="0.55000000000000004">
      <c r="A120" s="179"/>
      <c r="B120" s="179"/>
      <c r="C120" s="180" t="s">
        <v>109</v>
      </c>
      <c r="D120" s="181"/>
      <c r="E120" s="181"/>
      <c r="F120" s="181"/>
      <c r="G120" s="202">
        <f t="shared" si="87"/>
        <v>0</v>
      </c>
      <c r="H120" s="196"/>
      <c r="I120" s="197">
        <f t="shared" si="88"/>
        <v>0</v>
      </c>
      <c r="J120" s="197">
        <f t="shared" si="89"/>
        <v>0</v>
      </c>
      <c r="K120" s="197">
        <f t="shared" si="90"/>
        <v>0</v>
      </c>
      <c r="L120" s="197">
        <f t="shared" si="91"/>
        <v>0</v>
      </c>
    </row>
    <row r="121" spans="1:12" x14ac:dyDescent="0.55000000000000004">
      <c r="A121" s="174"/>
      <c r="B121" s="175" t="s">
        <v>111</v>
      </c>
      <c r="C121" s="175" t="s">
        <v>112</v>
      </c>
      <c r="D121" s="176"/>
      <c r="E121" s="176"/>
      <c r="F121" s="176"/>
      <c r="G121" s="176"/>
      <c r="H121" s="177"/>
      <c r="I121" s="177"/>
      <c r="J121" s="177"/>
      <c r="K121" s="178"/>
      <c r="L121" s="178"/>
    </row>
    <row r="122" spans="1:12" x14ac:dyDescent="0.55000000000000004">
      <c r="A122" s="179" t="s">
        <v>97</v>
      </c>
      <c r="B122" s="179" t="s">
        <v>113</v>
      </c>
      <c r="C122" s="180" t="s">
        <v>112</v>
      </c>
      <c r="D122" s="181"/>
      <c r="E122" s="181"/>
      <c r="F122" s="181"/>
      <c r="G122" s="202">
        <f t="shared" ref="G122" si="92">IFERROR(ROUND((F122/D122)-1,3),0)</f>
        <v>0</v>
      </c>
      <c r="H122" s="196"/>
      <c r="I122" s="197">
        <f t="shared" ref="I122" si="93">IFERROR(ROUND($D122*$H122,2),0)</f>
        <v>0</v>
      </c>
      <c r="J122" s="197">
        <f t="shared" ref="J122" si="94">IFERROR(ROUND($E122*$H122,2),0)</f>
        <v>0</v>
      </c>
      <c r="K122" s="197">
        <f t="shared" ref="K122" si="95">IFERROR(ROUND($F122*$H122,2),0)</f>
        <v>0</v>
      </c>
      <c r="L122" s="197">
        <f t="shared" ref="L122" si="96">IFERROR(ROUND(K122-J122,2),0)</f>
        <v>0</v>
      </c>
    </row>
    <row r="123" spans="1:12" s="27" customFormat="1" x14ac:dyDescent="0.55000000000000004">
      <c r="A123" s="179"/>
      <c r="B123" s="179"/>
      <c r="C123" s="180" t="s">
        <v>134</v>
      </c>
      <c r="D123" s="181"/>
      <c r="E123" s="181"/>
      <c r="F123" s="181"/>
      <c r="G123" s="202">
        <f>IFERROR(ROUND((F123/D123)-1,3),0)</f>
        <v>0</v>
      </c>
      <c r="H123" s="196"/>
      <c r="I123" s="197">
        <f>IFERROR(ROUND($D123*$H123,2),0)</f>
        <v>0</v>
      </c>
      <c r="J123" s="197">
        <f>IFERROR(ROUND($E123*$H123,2),0)</f>
        <v>0</v>
      </c>
      <c r="K123" s="197">
        <f>IFERROR(ROUND($F123*$H123,2),0)</f>
        <v>0</v>
      </c>
      <c r="L123" s="197">
        <f>IFERROR(ROUND(K123-J123,2),0)</f>
        <v>0</v>
      </c>
    </row>
    <row r="124" spans="1:12" s="27" customFormat="1" x14ac:dyDescent="0.55000000000000004">
      <c r="A124" s="179"/>
      <c r="B124" s="179"/>
      <c r="C124" s="180" t="s">
        <v>115</v>
      </c>
      <c r="D124" s="181"/>
      <c r="E124" s="181"/>
      <c r="F124" s="181"/>
      <c r="G124" s="202">
        <f t="shared" ref="G124:G126" si="97">IFERROR(ROUND((F124/D124)-1,3),0)</f>
        <v>0</v>
      </c>
      <c r="H124" s="196"/>
      <c r="I124" s="197">
        <f t="shared" ref="I124:I126" si="98">IFERROR(ROUND($D124*$H124,2),0)</f>
        <v>0</v>
      </c>
      <c r="J124" s="197">
        <f t="shared" ref="J124:J126" si="99">IFERROR(ROUND($E124*$H124,2),0)</f>
        <v>0</v>
      </c>
      <c r="K124" s="197">
        <f t="shared" ref="K124:K126" si="100">IFERROR(ROUND($F124*$H124,2),0)</f>
        <v>0</v>
      </c>
      <c r="L124" s="197">
        <f t="shared" ref="L124:L126" si="101">IFERROR(ROUND(K124-J124,2),0)</f>
        <v>0</v>
      </c>
    </row>
    <row r="125" spans="1:12" s="27" customFormat="1" x14ac:dyDescent="0.55000000000000004">
      <c r="A125" s="179"/>
      <c r="B125" s="179"/>
      <c r="C125" s="180" t="s">
        <v>135</v>
      </c>
      <c r="D125" s="181"/>
      <c r="E125" s="181"/>
      <c r="F125" s="181"/>
      <c r="G125" s="202">
        <f t="shared" si="97"/>
        <v>0</v>
      </c>
      <c r="H125" s="196"/>
      <c r="I125" s="197">
        <f t="shared" si="98"/>
        <v>0</v>
      </c>
      <c r="J125" s="197">
        <f t="shared" si="99"/>
        <v>0</v>
      </c>
      <c r="K125" s="197">
        <f t="shared" si="100"/>
        <v>0</v>
      </c>
      <c r="L125" s="197">
        <f t="shared" si="101"/>
        <v>0</v>
      </c>
    </row>
    <row r="126" spans="1:12" s="27" customFormat="1" x14ac:dyDescent="0.55000000000000004">
      <c r="A126" s="179"/>
      <c r="B126" s="179"/>
      <c r="C126" s="180" t="s">
        <v>136</v>
      </c>
      <c r="D126" s="181"/>
      <c r="E126" s="181"/>
      <c r="F126" s="181"/>
      <c r="G126" s="202">
        <f t="shared" si="97"/>
        <v>0</v>
      </c>
      <c r="H126" s="196"/>
      <c r="I126" s="197">
        <f t="shared" si="98"/>
        <v>0</v>
      </c>
      <c r="J126" s="197">
        <f t="shared" si="99"/>
        <v>0</v>
      </c>
      <c r="K126" s="197">
        <f t="shared" si="100"/>
        <v>0</v>
      </c>
      <c r="L126" s="197">
        <f t="shared" si="101"/>
        <v>0</v>
      </c>
    </row>
    <row r="127" spans="1:12" x14ac:dyDescent="0.55000000000000004">
      <c r="A127" s="174"/>
      <c r="B127" s="175" t="s">
        <v>114</v>
      </c>
      <c r="C127" s="175" t="s">
        <v>115</v>
      </c>
      <c r="D127" s="176"/>
      <c r="E127" s="176"/>
      <c r="F127" s="176"/>
      <c r="G127" s="176"/>
      <c r="H127" s="177"/>
      <c r="I127" s="177"/>
      <c r="J127" s="177"/>
      <c r="K127" s="178"/>
      <c r="L127" s="178"/>
    </row>
    <row r="128" spans="1:12" s="27" customFormat="1" x14ac:dyDescent="0.55000000000000004">
      <c r="A128" s="179" t="s">
        <v>97</v>
      </c>
      <c r="B128" s="179" t="s">
        <v>116</v>
      </c>
      <c r="C128" s="180" t="s">
        <v>115</v>
      </c>
      <c r="D128" s="181"/>
      <c r="E128" s="181"/>
      <c r="F128" s="181"/>
      <c r="G128" s="202">
        <f t="shared" ref="G128" si="102">IFERROR(ROUND((F128/D128)-1,3),0)</f>
        <v>0</v>
      </c>
      <c r="H128" s="196"/>
      <c r="I128" s="197">
        <f t="shared" ref="I128" si="103">IFERROR(ROUND($D128*$H128,2),0)</f>
        <v>0</v>
      </c>
      <c r="J128" s="197">
        <f t="shared" ref="J128" si="104">IFERROR(ROUND($E128*$H128,2),0)</f>
        <v>0</v>
      </c>
      <c r="K128" s="197">
        <f t="shared" ref="K128" si="105">IFERROR(ROUND($F128*$H128,2),0)</f>
        <v>0</v>
      </c>
      <c r="L128" s="197">
        <f t="shared" ref="L128" si="106">IFERROR(ROUND(K128-J128,2),0)</f>
        <v>0</v>
      </c>
    </row>
    <row r="129" spans="1:12" s="27" customFormat="1" x14ac:dyDescent="0.55000000000000004">
      <c r="A129" s="179"/>
      <c r="B129" s="179"/>
      <c r="C129" s="180" t="s">
        <v>135</v>
      </c>
      <c r="D129" s="181"/>
      <c r="E129" s="181"/>
      <c r="F129" s="181"/>
      <c r="G129" s="202">
        <f>IFERROR(ROUND((F129/D129)-1,3),0)</f>
        <v>0</v>
      </c>
      <c r="H129" s="196"/>
      <c r="I129" s="197">
        <f>IFERROR(ROUND($D129*$H129,2),0)</f>
        <v>0</v>
      </c>
      <c r="J129" s="197">
        <f>IFERROR(ROUND($E129*$H129,2),0)</f>
        <v>0</v>
      </c>
      <c r="K129" s="197">
        <f>IFERROR(ROUND($F129*$H129,2),0)</f>
        <v>0</v>
      </c>
      <c r="L129" s="197">
        <f>IFERROR(ROUND(K129-J129,2),0)</f>
        <v>0</v>
      </c>
    </row>
    <row r="130" spans="1:12" s="27" customFormat="1" x14ac:dyDescent="0.55000000000000004">
      <c r="A130" s="179"/>
      <c r="B130" s="179"/>
      <c r="C130" s="180" t="s">
        <v>136</v>
      </c>
      <c r="D130" s="181"/>
      <c r="E130" s="181"/>
      <c r="F130" s="181"/>
      <c r="G130" s="202">
        <f t="shared" ref="G130:G132" si="107">IFERROR(ROUND((F130/D130)-1,3),0)</f>
        <v>0</v>
      </c>
      <c r="H130" s="196"/>
      <c r="I130" s="197">
        <f t="shared" ref="I130:I132" si="108">IFERROR(ROUND($D130*$H130,2),0)</f>
        <v>0</v>
      </c>
      <c r="J130" s="197">
        <f t="shared" ref="J130:J132" si="109">IFERROR(ROUND($E130*$H130,2),0)</f>
        <v>0</v>
      </c>
      <c r="K130" s="197">
        <f t="shared" ref="K130:K132" si="110">IFERROR(ROUND($F130*$H130,2),0)</f>
        <v>0</v>
      </c>
      <c r="L130" s="197">
        <f t="shared" ref="L130:L132" si="111">IFERROR(ROUND(K130-J130,2),0)</f>
        <v>0</v>
      </c>
    </row>
    <row r="131" spans="1:12" s="27" customFormat="1" x14ac:dyDescent="0.55000000000000004">
      <c r="A131" s="179"/>
      <c r="B131" s="179"/>
      <c r="C131" s="180" t="s">
        <v>137</v>
      </c>
      <c r="D131" s="181"/>
      <c r="E131" s="181"/>
      <c r="F131" s="181"/>
      <c r="G131" s="202">
        <f t="shared" si="107"/>
        <v>0</v>
      </c>
      <c r="H131" s="196"/>
      <c r="I131" s="197">
        <f t="shared" si="108"/>
        <v>0</v>
      </c>
      <c r="J131" s="197">
        <f t="shared" si="109"/>
        <v>0</v>
      </c>
      <c r="K131" s="197">
        <f t="shared" si="110"/>
        <v>0</v>
      </c>
      <c r="L131" s="197">
        <f t="shared" si="111"/>
        <v>0</v>
      </c>
    </row>
    <row r="132" spans="1:12" s="27" customFormat="1" x14ac:dyDescent="0.55000000000000004">
      <c r="A132" s="179"/>
      <c r="B132" s="179"/>
      <c r="C132" s="180" t="s">
        <v>138</v>
      </c>
      <c r="D132" s="181"/>
      <c r="E132" s="181"/>
      <c r="F132" s="181"/>
      <c r="G132" s="202">
        <f t="shared" si="107"/>
        <v>0</v>
      </c>
      <c r="H132" s="196"/>
      <c r="I132" s="197">
        <f t="shared" si="108"/>
        <v>0</v>
      </c>
      <c r="J132" s="197">
        <f t="shared" si="109"/>
        <v>0</v>
      </c>
      <c r="K132" s="197">
        <f t="shared" si="110"/>
        <v>0</v>
      </c>
      <c r="L132" s="197">
        <f t="shared" si="111"/>
        <v>0</v>
      </c>
    </row>
    <row r="133" spans="1:12" x14ac:dyDescent="0.55000000000000004">
      <c r="A133" s="174"/>
      <c r="B133" s="175" t="s">
        <v>117</v>
      </c>
      <c r="C133" s="175" t="s">
        <v>118</v>
      </c>
      <c r="D133" s="176"/>
      <c r="E133" s="176"/>
      <c r="F133" s="176"/>
      <c r="G133" s="176"/>
      <c r="H133" s="177"/>
      <c r="I133" s="177"/>
      <c r="J133" s="177"/>
      <c r="K133" s="178"/>
      <c r="L133" s="178"/>
    </row>
    <row r="134" spans="1:12" x14ac:dyDescent="0.55000000000000004">
      <c r="A134" s="179" t="s">
        <v>97</v>
      </c>
      <c r="B134" s="179" t="s">
        <v>119</v>
      </c>
      <c r="C134" s="180" t="s">
        <v>118</v>
      </c>
      <c r="D134" s="181"/>
      <c r="E134" s="181"/>
      <c r="F134" s="181"/>
      <c r="G134" s="202">
        <f t="shared" ref="G134:G138" si="112">IFERROR(ROUND((F134/D134)-1,3),0)</f>
        <v>0</v>
      </c>
      <c r="H134" s="196"/>
      <c r="I134" s="197">
        <f t="shared" ref="I134:I138" si="113">IFERROR(ROUND($D134*$H134,2),0)</f>
        <v>0</v>
      </c>
      <c r="J134" s="197">
        <f t="shared" ref="J134:J138" si="114">IFERROR(ROUND($E134*$H134,2),0)</f>
        <v>0</v>
      </c>
      <c r="K134" s="197">
        <f t="shared" ref="K134:K138" si="115">IFERROR(ROUND($F134*$H134,2),0)</f>
        <v>0</v>
      </c>
      <c r="L134" s="197">
        <f t="shared" ref="L134:L138" si="116">IFERROR(ROUND(K134-J134,2),0)</f>
        <v>0</v>
      </c>
    </row>
    <row r="135" spans="1:12" s="27" customFormat="1" x14ac:dyDescent="0.55000000000000004">
      <c r="A135" s="179"/>
      <c r="B135" s="179"/>
      <c r="C135" s="180" t="s">
        <v>118</v>
      </c>
      <c r="D135" s="181"/>
      <c r="E135" s="181"/>
      <c r="F135" s="181"/>
      <c r="G135" s="202">
        <f t="shared" si="112"/>
        <v>0</v>
      </c>
      <c r="H135" s="196"/>
      <c r="I135" s="197">
        <f t="shared" si="113"/>
        <v>0</v>
      </c>
      <c r="J135" s="197">
        <f t="shared" si="114"/>
        <v>0</v>
      </c>
      <c r="K135" s="197">
        <f t="shared" si="115"/>
        <v>0</v>
      </c>
      <c r="L135" s="197">
        <f t="shared" si="116"/>
        <v>0</v>
      </c>
    </row>
    <row r="136" spans="1:12" x14ac:dyDescent="0.55000000000000004">
      <c r="A136" s="179"/>
      <c r="B136" s="179"/>
      <c r="C136" s="180" t="s">
        <v>118</v>
      </c>
      <c r="D136" s="181"/>
      <c r="E136" s="181"/>
      <c r="F136" s="181"/>
      <c r="G136" s="202">
        <f t="shared" si="112"/>
        <v>0</v>
      </c>
      <c r="H136" s="196"/>
      <c r="I136" s="197">
        <f t="shared" si="113"/>
        <v>0</v>
      </c>
      <c r="J136" s="197">
        <f t="shared" si="114"/>
        <v>0</v>
      </c>
      <c r="K136" s="197">
        <f t="shared" si="115"/>
        <v>0</v>
      </c>
      <c r="L136" s="197">
        <f t="shared" si="116"/>
        <v>0</v>
      </c>
    </row>
    <row r="137" spans="1:12" x14ac:dyDescent="0.55000000000000004">
      <c r="A137" s="179"/>
      <c r="B137" s="179"/>
      <c r="C137" s="180" t="s">
        <v>118</v>
      </c>
      <c r="D137" s="181"/>
      <c r="E137" s="181"/>
      <c r="F137" s="181"/>
      <c r="G137" s="202">
        <f t="shared" si="112"/>
        <v>0</v>
      </c>
      <c r="H137" s="196"/>
      <c r="I137" s="197">
        <f t="shared" si="113"/>
        <v>0</v>
      </c>
      <c r="J137" s="197">
        <f t="shared" si="114"/>
        <v>0</v>
      </c>
      <c r="K137" s="197">
        <f t="shared" si="115"/>
        <v>0</v>
      </c>
      <c r="L137" s="197">
        <f t="shared" si="116"/>
        <v>0</v>
      </c>
    </row>
    <row r="138" spans="1:12" x14ac:dyDescent="0.55000000000000004">
      <c r="A138" s="179"/>
      <c r="B138" s="179"/>
      <c r="C138" s="180" t="s">
        <v>118</v>
      </c>
      <c r="D138" s="181"/>
      <c r="E138" s="181"/>
      <c r="F138" s="181"/>
      <c r="G138" s="202">
        <f t="shared" si="112"/>
        <v>0</v>
      </c>
      <c r="H138" s="196"/>
      <c r="I138" s="197">
        <f t="shared" si="113"/>
        <v>0</v>
      </c>
      <c r="J138" s="197">
        <f t="shared" si="114"/>
        <v>0</v>
      </c>
      <c r="K138" s="197">
        <f t="shared" si="115"/>
        <v>0</v>
      </c>
      <c r="L138" s="197">
        <f t="shared" si="116"/>
        <v>0</v>
      </c>
    </row>
    <row r="139" spans="1:12" ht="28.8" x14ac:dyDescent="0.55000000000000004">
      <c r="A139" s="174"/>
      <c r="B139" s="175" t="s">
        <v>120</v>
      </c>
      <c r="C139" s="175" t="s">
        <v>121</v>
      </c>
      <c r="D139" s="176"/>
      <c r="E139" s="176"/>
      <c r="F139" s="176"/>
      <c r="G139" s="176"/>
      <c r="H139" s="177"/>
      <c r="I139" s="177"/>
      <c r="J139" s="177"/>
      <c r="K139" s="178"/>
      <c r="L139" s="178"/>
    </row>
    <row r="140" spans="1:12" x14ac:dyDescent="0.55000000000000004">
      <c r="A140" s="179" t="s">
        <v>97</v>
      </c>
      <c r="B140" s="184" t="s">
        <v>133</v>
      </c>
      <c r="C140" s="180" t="s">
        <v>121</v>
      </c>
      <c r="D140" s="181"/>
      <c r="E140" s="181"/>
      <c r="F140" s="181"/>
      <c r="G140" s="202">
        <f t="shared" ref="G140:G144" si="117">IFERROR(ROUND((F140/D140)-1,3),0)</f>
        <v>0</v>
      </c>
      <c r="H140" s="196"/>
      <c r="I140" s="197">
        <f t="shared" ref="I140:I144" si="118">IFERROR(ROUND($D140*$H140,2),0)</f>
        <v>0</v>
      </c>
      <c r="J140" s="197">
        <f t="shared" ref="J140:J144" si="119">IFERROR(ROUND($E140*$H140,2),0)</f>
        <v>0</v>
      </c>
      <c r="K140" s="197">
        <f t="shared" ref="K140:K144" si="120">IFERROR(ROUND($F140*$H140,2),0)</f>
        <v>0</v>
      </c>
      <c r="L140" s="197">
        <f t="shared" ref="L140:L144" si="121">IFERROR(ROUND(K140-J140,2),0)</f>
        <v>0</v>
      </c>
    </row>
    <row r="141" spans="1:12" s="27" customFormat="1" x14ac:dyDescent="0.55000000000000004">
      <c r="A141" s="179"/>
      <c r="B141" s="179"/>
      <c r="C141" s="180" t="s">
        <v>121</v>
      </c>
      <c r="D141" s="181"/>
      <c r="E141" s="181"/>
      <c r="F141" s="181"/>
      <c r="G141" s="202">
        <f t="shared" si="117"/>
        <v>0</v>
      </c>
      <c r="H141" s="196"/>
      <c r="I141" s="197">
        <f t="shared" si="118"/>
        <v>0</v>
      </c>
      <c r="J141" s="197">
        <f t="shared" si="119"/>
        <v>0</v>
      </c>
      <c r="K141" s="197">
        <f t="shared" si="120"/>
        <v>0</v>
      </c>
      <c r="L141" s="197">
        <f t="shared" si="121"/>
        <v>0</v>
      </c>
    </row>
    <row r="142" spans="1:12" x14ac:dyDescent="0.55000000000000004">
      <c r="A142" s="179"/>
      <c r="B142" s="179"/>
      <c r="C142" s="180" t="s">
        <v>121</v>
      </c>
      <c r="D142" s="181"/>
      <c r="E142" s="181"/>
      <c r="F142" s="181"/>
      <c r="G142" s="202">
        <f t="shared" si="117"/>
        <v>0</v>
      </c>
      <c r="H142" s="196"/>
      <c r="I142" s="197">
        <f t="shared" si="118"/>
        <v>0</v>
      </c>
      <c r="J142" s="197">
        <f t="shared" si="119"/>
        <v>0</v>
      </c>
      <c r="K142" s="197">
        <f t="shared" si="120"/>
        <v>0</v>
      </c>
      <c r="L142" s="197">
        <f t="shared" si="121"/>
        <v>0</v>
      </c>
    </row>
    <row r="143" spans="1:12" x14ac:dyDescent="0.55000000000000004">
      <c r="A143" s="179"/>
      <c r="B143" s="179"/>
      <c r="C143" s="180" t="s">
        <v>121</v>
      </c>
      <c r="D143" s="181"/>
      <c r="E143" s="181"/>
      <c r="F143" s="181"/>
      <c r="G143" s="202">
        <f t="shared" si="117"/>
        <v>0</v>
      </c>
      <c r="H143" s="196"/>
      <c r="I143" s="197">
        <f t="shared" si="118"/>
        <v>0</v>
      </c>
      <c r="J143" s="197">
        <f t="shared" si="119"/>
        <v>0</v>
      </c>
      <c r="K143" s="197">
        <f t="shared" si="120"/>
        <v>0</v>
      </c>
      <c r="L143" s="197">
        <f t="shared" si="121"/>
        <v>0</v>
      </c>
    </row>
    <row r="144" spans="1:12" x14ac:dyDescent="0.55000000000000004">
      <c r="A144" s="179"/>
      <c r="B144" s="179"/>
      <c r="C144" s="180" t="s">
        <v>121</v>
      </c>
      <c r="D144" s="181"/>
      <c r="E144" s="181"/>
      <c r="F144" s="181"/>
      <c r="G144" s="202">
        <f t="shared" si="117"/>
        <v>0</v>
      </c>
      <c r="H144" s="196"/>
      <c r="I144" s="197">
        <f t="shared" si="118"/>
        <v>0</v>
      </c>
      <c r="J144" s="197">
        <f t="shared" si="119"/>
        <v>0</v>
      </c>
      <c r="K144" s="197">
        <f t="shared" si="120"/>
        <v>0</v>
      </c>
      <c r="L144" s="197">
        <f t="shared" si="121"/>
        <v>0</v>
      </c>
    </row>
    <row r="145" spans="1:15" ht="28.8" x14ac:dyDescent="0.55000000000000004">
      <c r="A145" s="174"/>
      <c r="B145" s="175" t="s">
        <v>123</v>
      </c>
      <c r="C145" s="175" t="s">
        <v>124</v>
      </c>
      <c r="D145" s="176"/>
      <c r="E145" s="176"/>
      <c r="F145" s="176"/>
      <c r="G145" s="176"/>
      <c r="H145" s="177"/>
      <c r="I145" s="177"/>
      <c r="J145" s="177"/>
      <c r="K145" s="178"/>
      <c r="L145" s="178"/>
    </row>
    <row r="146" spans="1:15" x14ac:dyDescent="0.55000000000000004">
      <c r="A146" s="179" t="s">
        <v>97</v>
      </c>
      <c r="B146" s="179" t="s">
        <v>125</v>
      </c>
      <c r="C146" s="180" t="s">
        <v>124</v>
      </c>
      <c r="D146" s="181"/>
      <c r="E146" s="181"/>
      <c r="F146" s="181"/>
      <c r="G146" s="202">
        <f t="shared" ref="G146:G150" si="122">IFERROR(ROUND((F146/D146)-1,3),0)</f>
        <v>0</v>
      </c>
      <c r="H146" s="196"/>
      <c r="I146" s="197">
        <f t="shared" ref="I146:I150" si="123">IFERROR(ROUND($D146*$H146,2),0)</f>
        <v>0</v>
      </c>
      <c r="J146" s="197">
        <f t="shared" ref="J146:J150" si="124">IFERROR(ROUND($E146*$H146,2),0)</f>
        <v>0</v>
      </c>
      <c r="K146" s="197">
        <f t="shared" ref="K146:K150" si="125">IFERROR(ROUND($F146*$H146,2),0)</f>
        <v>0</v>
      </c>
      <c r="L146" s="197">
        <f t="shared" ref="L146:L150" si="126">IFERROR(ROUND(K146-J146,2),0)</f>
        <v>0</v>
      </c>
    </row>
    <row r="147" spans="1:15" s="27" customFormat="1" x14ac:dyDescent="0.55000000000000004">
      <c r="A147" s="179"/>
      <c r="B147" s="179"/>
      <c r="C147" s="180" t="s">
        <v>124</v>
      </c>
      <c r="D147" s="181"/>
      <c r="E147" s="181"/>
      <c r="F147" s="181"/>
      <c r="G147" s="202">
        <f t="shared" si="122"/>
        <v>0</v>
      </c>
      <c r="H147" s="196"/>
      <c r="I147" s="197">
        <f>IFERROR(ROUND($D147*$H147,2),0)</f>
        <v>0</v>
      </c>
      <c r="J147" s="197">
        <f t="shared" si="124"/>
        <v>0</v>
      </c>
      <c r="K147" s="197">
        <f t="shared" si="125"/>
        <v>0</v>
      </c>
      <c r="L147" s="197">
        <f t="shared" si="126"/>
        <v>0</v>
      </c>
    </row>
    <row r="148" spans="1:15" x14ac:dyDescent="0.55000000000000004">
      <c r="A148" s="179"/>
      <c r="B148" s="179"/>
      <c r="C148" s="180" t="s">
        <v>124</v>
      </c>
      <c r="D148" s="181"/>
      <c r="E148" s="181"/>
      <c r="F148" s="181"/>
      <c r="G148" s="202">
        <f t="shared" si="122"/>
        <v>0</v>
      </c>
      <c r="H148" s="196"/>
      <c r="I148" s="197">
        <f t="shared" si="123"/>
        <v>0</v>
      </c>
      <c r="J148" s="197">
        <f t="shared" si="124"/>
        <v>0</v>
      </c>
      <c r="K148" s="197">
        <f t="shared" si="125"/>
        <v>0</v>
      </c>
      <c r="L148" s="197">
        <f t="shared" si="126"/>
        <v>0</v>
      </c>
    </row>
    <row r="149" spans="1:15" x14ac:dyDescent="0.55000000000000004">
      <c r="A149" s="179"/>
      <c r="B149" s="179"/>
      <c r="C149" s="180" t="s">
        <v>124</v>
      </c>
      <c r="D149" s="181"/>
      <c r="E149" s="181"/>
      <c r="F149" s="181"/>
      <c r="G149" s="202">
        <f t="shared" si="122"/>
        <v>0</v>
      </c>
      <c r="H149" s="196"/>
      <c r="I149" s="197">
        <f t="shared" si="123"/>
        <v>0</v>
      </c>
      <c r="J149" s="197">
        <f t="shared" si="124"/>
        <v>0</v>
      </c>
      <c r="K149" s="197">
        <f t="shared" si="125"/>
        <v>0</v>
      </c>
      <c r="L149" s="197">
        <f t="shared" si="126"/>
        <v>0</v>
      </c>
    </row>
    <row r="150" spans="1:15" x14ac:dyDescent="0.55000000000000004">
      <c r="A150" s="179"/>
      <c r="B150" s="179"/>
      <c r="C150" s="180" t="s">
        <v>124</v>
      </c>
      <c r="D150" s="181"/>
      <c r="E150" s="181"/>
      <c r="F150" s="181"/>
      <c r="G150" s="202">
        <f t="shared" si="122"/>
        <v>0</v>
      </c>
      <c r="H150" s="196"/>
      <c r="I150" s="197">
        <f t="shared" si="123"/>
        <v>0</v>
      </c>
      <c r="J150" s="197">
        <f t="shared" si="124"/>
        <v>0</v>
      </c>
      <c r="K150" s="197">
        <f t="shared" si="125"/>
        <v>0</v>
      </c>
      <c r="L150" s="197">
        <f t="shared" si="126"/>
        <v>0</v>
      </c>
    </row>
    <row r="151" spans="1:15" s="27" customFormat="1" x14ac:dyDescent="0.55000000000000004">
      <c r="A151" s="26"/>
      <c r="C151" s="17"/>
      <c r="D151" s="3"/>
      <c r="E151" s="3"/>
      <c r="F151" s="3"/>
      <c r="G151" s="3"/>
      <c r="H151" s="3"/>
      <c r="I151" s="4"/>
      <c r="J151" s="4"/>
      <c r="K151" s="4"/>
      <c r="L151" s="5"/>
      <c r="M151" s="14"/>
      <c r="N151" s="14"/>
      <c r="O151" s="183"/>
    </row>
  </sheetData>
  <mergeCells count="11">
    <mergeCell ref="A10:B10"/>
    <mergeCell ref="A13:N14"/>
    <mergeCell ref="K16:M16"/>
    <mergeCell ref="A84:L85"/>
    <mergeCell ref="I87:K87"/>
    <mergeCell ref="A9:B9"/>
    <mergeCell ref="D1:E1"/>
    <mergeCell ref="A2:B2"/>
    <mergeCell ref="A6:B6"/>
    <mergeCell ref="A7:B7"/>
    <mergeCell ref="A8:B8"/>
  </mergeCells>
  <conditionalFormatting sqref="D11">
    <cfRule type="expression" dxfId="7" priority="1">
      <formula>$D11="Fail"</formula>
    </cfRule>
    <cfRule type="expression" dxfId="6" priority="2">
      <formula>$D11="Pass"</formula>
    </cfRule>
  </conditionalFormatting>
  <pageMargins left="0.25" right="0.25" top="0.75" bottom="0.75" header="0.3" footer="0.3"/>
  <pageSetup paperSize="5"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63890-6BC9-46CD-A815-75624F5AFC64}">
  <sheetPr>
    <pageSetUpPr fitToPage="1"/>
  </sheetPr>
  <dimension ref="A1:O151"/>
  <sheetViews>
    <sheetView zoomScale="70" zoomScaleNormal="70" workbookViewId="0"/>
  </sheetViews>
  <sheetFormatPr defaultColWidth="9.15625" defaultRowHeight="14.4" x14ac:dyDescent="0.55000000000000004"/>
  <cols>
    <col min="1" max="1" width="59" style="26" bestFit="1" customWidth="1"/>
    <col min="2" max="2" width="43.68359375" style="27" customWidth="1"/>
    <col min="3" max="3" width="15.68359375" style="17" customWidth="1"/>
    <col min="4" max="8" width="15.68359375" style="3" customWidth="1"/>
    <col min="9" max="11" width="15.68359375" style="4" customWidth="1"/>
    <col min="12" max="12" width="15.68359375" style="5" customWidth="1"/>
    <col min="13" max="14" width="18.26171875" style="14" customWidth="1"/>
    <col min="15" max="15" width="24" style="14" customWidth="1"/>
    <col min="16" max="16384" width="9.15625" style="14"/>
  </cols>
  <sheetData>
    <row r="1" spans="1:15" ht="20.399999999999999" x14ac:dyDescent="0.75">
      <c r="A1" s="135" t="s">
        <v>32</v>
      </c>
      <c r="B1"/>
      <c r="C1" s="14"/>
      <c r="D1" s="365"/>
      <c r="E1" s="365"/>
      <c r="F1" s="268"/>
      <c r="G1" s="14"/>
      <c r="H1" s="14"/>
    </row>
    <row r="2" spans="1:15" x14ac:dyDescent="0.55000000000000004">
      <c r="A2" s="366" t="s">
        <v>33</v>
      </c>
      <c r="B2" s="366"/>
      <c r="C2" s="14"/>
      <c r="D2" s="14"/>
      <c r="F2" s="6"/>
      <c r="G2" s="14"/>
      <c r="H2" s="14"/>
    </row>
    <row r="3" spans="1:15" x14ac:dyDescent="0.55000000000000004">
      <c r="A3" s="135" t="s">
        <v>34</v>
      </c>
      <c r="B3"/>
      <c r="C3" s="14"/>
      <c r="D3" s="14"/>
      <c r="F3" s="6"/>
      <c r="G3" s="14"/>
      <c r="H3" s="14"/>
    </row>
    <row r="4" spans="1:15" x14ac:dyDescent="0.55000000000000004">
      <c r="A4" s="135"/>
      <c r="C4" s="14"/>
      <c r="D4" s="14"/>
      <c r="F4" s="6"/>
      <c r="G4" s="14"/>
      <c r="H4" s="14"/>
      <c r="I4" s="14"/>
      <c r="J4" s="14"/>
      <c r="K4" s="14"/>
      <c r="L4" s="14"/>
    </row>
    <row r="5" spans="1:15" x14ac:dyDescent="0.55000000000000004">
      <c r="A5" s="50"/>
      <c r="C5" s="14"/>
      <c r="D5" s="14"/>
      <c r="F5" s="6"/>
      <c r="G5" s="269"/>
      <c r="H5" s="270"/>
      <c r="I5" s="14"/>
      <c r="J5" s="14"/>
      <c r="K5" s="14"/>
      <c r="L5" s="14"/>
    </row>
    <row r="6" spans="1:15" x14ac:dyDescent="0.55000000000000004">
      <c r="A6" s="364" t="s">
        <v>79</v>
      </c>
      <c r="B6" s="364"/>
      <c r="C6" s="271" t="s">
        <v>75</v>
      </c>
      <c r="D6" s="14"/>
      <c r="F6" s="6"/>
      <c r="G6" s="269"/>
      <c r="H6" s="270"/>
      <c r="I6" s="14"/>
      <c r="J6" s="14"/>
      <c r="K6" s="14"/>
      <c r="L6" s="14"/>
    </row>
    <row r="7" spans="1:15" x14ac:dyDescent="0.55000000000000004">
      <c r="A7" s="364" t="s">
        <v>80</v>
      </c>
      <c r="B7" s="364"/>
      <c r="C7" s="272" t="s">
        <v>76</v>
      </c>
      <c r="D7" s="168"/>
      <c r="E7" s="168"/>
      <c r="F7" s="168"/>
      <c r="G7" s="269"/>
      <c r="H7" s="270"/>
      <c r="I7" s="14"/>
      <c r="J7" s="14"/>
      <c r="K7" s="14"/>
      <c r="L7" s="14"/>
    </row>
    <row r="8" spans="1:15" x14ac:dyDescent="0.55000000000000004">
      <c r="A8" s="364" t="s">
        <v>81</v>
      </c>
      <c r="B8" s="364"/>
      <c r="C8" s="290">
        <f>'Factor Dev'!G18</f>
        <v>1</v>
      </c>
      <c r="D8" s="168"/>
      <c r="E8" s="168"/>
      <c r="F8" s="168"/>
      <c r="G8" s="269"/>
      <c r="H8" s="270"/>
      <c r="I8" s="14"/>
      <c r="J8" s="14"/>
      <c r="K8" s="14"/>
      <c r="L8" s="14"/>
    </row>
    <row r="9" spans="1:15" x14ac:dyDescent="0.55000000000000004">
      <c r="A9" s="364" t="s">
        <v>82</v>
      </c>
      <c r="B9" s="364"/>
      <c r="C9" s="290">
        <f>'Factor Dev'!K18</f>
        <v>1</v>
      </c>
      <c r="D9" s="168"/>
      <c r="E9" s="168"/>
      <c r="F9" s="168"/>
      <c r="G9" s="269"/>
      <c r="H9" s="270"/>
      <c r="I9" s="14"/>
      <c r="J9" s="14"/>
      <c r="K9" s="14"/>
      <c r="L9" s="14"/>
    </row>
    <row r="10" spans="1:15" x14ac:dyDescent="0.55000000000000004">
      <c r="A10" s="367" t="s">
        <v>83</v>
      </c>
      <c r="B10" s="367"/>
      <c r="C10" s="291"/>
      <c r="F10" s="6"/>
      <c r="G10" s="51"/>
      <c r="I10" s="13"/>
      <c r="J10" s="13"/>
      <c r="K10" s="13"/>
      <c r="M10" s="51"/>
      <c r="N10" s="51"/>
      <c r="O10" s="51"/>
    </row>
    <row r="11" spans="1:15" x14ac:dyDescent="0.55000000000000004">
      <c r="A11" s="274"/>
      <c r="B11" s="10"/>
      <c r="C11" s="11"/>
      <c r="D11" s="139"/>
      <c r="E11" s="12"/>
      <c r="F11" s="12"/>
      <c r="G11" s="12"/>
      <c r="H11" s="12"/>
      <c r="I11" s="12"/>
      <c r="J11" s="12"/>
      <c r="K11" s="276"/>
      <c r="L11" s="276"/>
      <c r="M11" s="276"/>
    </row>
    <row r="12" spans="1:15" ht="14.7" thickBot="1" x14ac:dyDescent="0.6">
      <c r="A12" s="275"/>
      <c r="C12" s="21"/>
      <c r="F12" s="6"/>
      <c r="G12" s="51"/>
      <c r="I12" s="13"/>
      <c r="J12" s="13"/>
      <c r="K12" s="13"/>
      <c r="M12" s="51"/>
      <c r="N12" s="51"/>
      <c r="O12" s="51"/>
    </row>
    <row r="13" spans="1:15" ht="14.5" customHeight="1" x14ac:dyDescent="0.55000000000000004">
      <c r="A13" s="368" t="s">
        <v>84</v>
      </c>
      <c r="B13" s="369"/>
      <c r="C13" s="369"/>
      <c r="D13" s="369"/>
      <c r="E13" s="369"/>
      <c r="F13" s="369"/>
      <c r="G13" s="369"/>
      <c r="H13" s="369"/>
      <c r="I13" s="369"/>
      <c r="J13" s="369"/>
      <c r="K13" s="369"/>
      <c r="L13" s="369"/>
      <c r="M13" s="369"/>
      <c r="N13" s="370"/>
      <c r="O13" s="201"/>
    </row>
    <row r="14" spans="1:15" ht="14.5" customHeight="1" thickBot="1" x14ac:dyDescent="0.6">
      <c r="A14" s="371"/>
      <c r="B14" s="372"/>
      <c r="C14" s="372"/>
      <c r="D14" s="372"/>
      <c r="E14" s="372"/>
      <c r="F14" s="372"/>
      <c r="G14" s="372"/>
      <c r="H14" s="372"/>
      <c r="I14" s="372"/>
      <c r="J14" s="372"/>
      <c r="K14" s="372"/>
      <c r="L14" s="372"/>
      <c r="M14" s="372"/>
      <c r="N14" s="373"/>
      <c r="O14" s="201"/>
    </row>
    <row r="15" spans="1:15" ht="14.5" customHeight="1" x14ac:dyDescent="0.55000000000000004">
      <c r="A15" s="167"/>
      <c r="B15" s="167"/>
      <c r="C15" s="167"/>
      <c r="D15" s="167"/>
      <c r="E15" s="167"/>
      <c r="F15" s="167"/>
      <c r="G15" s="167"/>
      <c r="H15" s="167"/>
      <c r="I15" s="167"/>
      <c r="J15" s="167"/>
      <c r="K15" s="167"/>
      <c r="L15" s="167"/>
      <c r="M15" s="167"/>
      <c r="N15" s="167"/>
      <c r="O15" s="167"/>
    </row>
    <row r="16" spans="1:15" ht="15.6" x14ac:dyDescent="0.6">
      <c r="A16" s="14"/>
      <c r="B16" s="14"/>
      <c r="C16"/>
      <c r="D16" s="168"/>
      <c r="E16" s="168"/>
      <c r="F16" s="168"/>
      <c r="G16" s="169"/>
      <c r="H16" s="169"/>
      <c r="I16" s="169"/>
      <c r="J16" s="14"/>
      <c r="K16" s="374" t="s">
        <v>85</v>
      </c>
      <c r="L16" s="375"/>
      <c r="M16" s="376"/>
      <c r="O16" s="170"/>
    </row>
    <row r="17" spans="1:15" s="173" customFormat="1" ht="269.25" customHeight="1" x14ac:dyDescent="0.55000000000000004">
      <c r="A17" s="171" t="s">
        <v>86</v>
      </c>
      <c r="B17" s="171" t="s">
        <v>87</v>
      </c>
      <c r="C17" s="292" t="s">
        <v>88</v>
      </c>
      <c r="D17" s="172" t="str">
        <f>CONCATENATE("Rate at Last PCI Update",CHAR(10)," (",'Factor Dev'!$S$19,")")</f>
        <v>Rate at Last PCI Update
 (October 1, 2023)</v>
      </c>
      <c r="E17" s="172" t="str">
        <f>CONCATENATE("Current Rate",CHAR(10)," (",'Factor Dev'!$Z$19,")")</f>
        <v>Current Rate
 (July 1, 2024)</v>
      </c>
      <c r="F17" s="172" t="str">
        <f>CONCATENATE("Proposed Rate",CHAR(10)," (",'Factor Dev'!$AA$19,")")</f>
        <v>Proposed Rate
 (July 2, 2024)</v>
      </c>
      <c r="G17" s="172" t="s">
        <v>91</v>
      </c>
      <c r="H17" s="293" t="str">
        <f>CONCATENATE("Average Monthly Demand Over Base Period",CHAR(10),"(Calendar Year ",DemandYear,")")</f>
        <v>Average Monthly Demand Over Base Period
(Calendar Year 2023)</v>
      </c>
      <c r="I17" s="29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7" s="29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7" s="172" t="str">
        <f>CONCATENATE("Rate at Last PCI Update",CHAR(10)," (",'Factor Dev'!$S$19,")")</f>
        <v>Rate at Last PCI Update
 (October 1, 2023)</v>
      </c>
      <c r="L17" s="172" t="str">
        <f>CONCATENATE("Current Rate",CHAR(10)," (",'Factor Dev'!$Z$19,")")</f>
        <v>Current Rate
 (July 1, 2024)</v>
      </c>
      <c r="M17" s="172" t="str">
        <f>CONCATENATE("Proposed Rate",CHAR(10)," (",'Factor Dev'!$AA$19,")")</f>
        <v>Proposed Rate
 (July 2, 2024)</v>
      </c>
      <c r="N17" s="172" t="s">
        <v>94</v>
      </c>
      <c r="O17" s="170"/>
    </row>
    <row r="18" spans="1:15" s="27" customFormat="1" x14ac:dyDescent="0.55000000000000004">
      <c r="A18" s="295"/>
      <c r="B18" s="296"/>
      <c r="C18" s="171" t="str">
        <f>"Col "&amp;COLUMN(C19)+59</f>
        <v>Col 62</v>
      </c>
      <c r="D18" s="171" t="str">
        <f t="shared" ref="D18:N18" si="0">"Col "&amp;COLUMN(D19)+59</f>
        <v>Col 63</v>
      </c>
      <c r="E18" s="171" t="str">
        <f t="shared" si="0"/>
        <v>Col 64</v>
      </c>
      <c r="F18" s="171" t="str">
        <f t="shared" si="0"/>
        <v>Col 65</v>
      </c>
      <c r="G18" s="171" t="str">
        <f t="shared" si="0"/>
        <v>Col 66</v>
      </c>
      <c r="H18" s="171" t="str">
        <f t="shared" si="0"/>
        <v>Col 67</v>
      </c>
      <c r="I18" s="171" t="str">
        <f t="shared" si="0"/>
        <v>Col 68</v>
      </c>
      <c r="J18" s="171" t="str">
        <f t="shared" si="0"/>
        <v>Col 69</v>
      </c>
      <c r="K18" s="171" t="str">
        <f t="shared" si="0"/>
        <v>Col 70</v>
      </c>
      <c r="L18" s="171" t="str">
        <f t="shared" si="0"/>
        <v>Col 71</v>
      </c>
      <c r="M18" s="171" t="str">
        <f t="shared" si="0"/>
        <v>Col 72</v>
      </c>
      <c r="N18" s="171" t="str">
        <f t="shared" si="0"/>
        <v>Col 73</v>
      </c>
      <c r="O18" s="170"/>
    </row>
    <row r="19" spans="1:15" s="27" customFormat="1" ht="186.75" customHeight="1" x14ac:dyDescent="0.55000000000000004">
      <c r="A19" s="171" t="s">
        <v>67</v>
      </c>
      <c r="B19" s="171" t="s">
        <v>67</v>
      </c>
      <c r="C19" s="15" t="s">
        <v>67</v>
      </c>
      <c r="D19" s="171" t="s">
        <v>67</v>
      </c>
      <c r="E19" s="297" t="s">
        <v>67</v>
      </c>
      <c r="F19" s="297" t="s">
        <v>67</v>
      </c>
      <c r="G19" s="297" t="str">
        <f>"("&amp;F18&amp;" / "&amp;E18&amp;")"&amp;" - 1"</f>
        <v>(Col 65 / Col 64) - 1</v>
      </c>
      <c r="H19" s="15" t="s">
        <v>67</v>
      </c>
      <c r="I19" s="15" t="s">
        <v>67</v>
      </c>
      <c r="J19" s="15" t="s">
        <v>67</v>
      </c>
      <c r="K19" s="297" t="str">
        <f>"(("&amp;D18&amp;" x "&amp;H18&amp;") + ("&amp;D18&amp;" x "&amp;I18&amp;" x Appropriate Discount) + ("&amp;D18&amp;" x "&amp;J18&amp;" x Appropriate Discount))"</f>
        <v>((Col 63 x Col 67) + (Col 63 x Col 68 x Appropriate Discount) + (Col 63 x Col 69 x Appropriate Discount))</v>
      </c>
      <c r="L19" s="297" t="str">
        <f>"(("&amp;E18&amp;" x "&amp;H18&amp;") + ("&amp;E18&amp;" x "&amp;I18&amp;" x Appropriate Discount) + ("&amp;E18&amp;" x "&amp;J18&amp;" x Appropriate Discount))"</f>
        <v>((Col 64 x Col 67) + (Col 64 x Col 68 x Appropriate Discount) + (Col 64 x Col 69 x Appropriate Discount))</v>
      </c>
      <c r="M19" s="297" t="str">
        <f>"(("&amp;F18&amp;" x "&amp;H18&amp;") + ("&amp;F18&amp;" x "&amp;I18&amp;" x Appropriate Discount) + ("&amp;F18&amp;" x "&amp;J18&amp;" x Appropriate Discount))"</f>
        <v>((Col 65 x Col 67) + (Col 65 x Col 68 x Appropriate Discount) + (Col 65 x Col 69 x Appropriate Discount))</v>
      </c>
      <c r="N19" s="297" t="str">
        <f>M18&amp;" - "&amp;L18</f>
        <v>Col 72 - Col 71</v>
      </c>
      <c r="O19" s="170"/>
    </row>
    <row r="20" spans="1:15" s="27" customFormat="1" x14ac:dyDescent="0.55000000000000004">
      <c r="A20" s="174"/>
      <c r="B20" s="175" t="s">
        <v>95</v>
      </c>
      <c r="C20" s="175" t="s">
        <v>96</v>
      </c>
      <c r="D20" s="176"/>
      <c r="E20" s="176"/>
      <c r="F20" s="176"/>
      <c r="G20" s="176"/>
      <c r="H20" s="177"/>
      <c r="I20" s="177"/>
      <c r="J20" s="177"/>
      <c r="K20" s="178"/>
      <c r="L20" s="178"/>
      <c r="M20" s="178"/>
      <c r="N20" s="178"/>
      <c r="O20" s="170"/>
    </row>
    <row r="21" spans="1:15" s="27" customFormat="1" x14ac:dyDescent="0.55000000000000004">
      <c r="A21" s="179" t="s">
        <v>97</v>
      </c>
      <c r="B21" s="179" t="s">
        <v>98</v>
      </c>
      <c r="C21" s="180" t="s">
        <v>96</v>
      </c>
      <c r="D21" s="181"/>
      <c r="E21" s="181"/>
      <c r="F21" s="181"/>
      <c r="G21" s="16">
        <f>IFERROR(ROUND(($F21/$E21)-1,3),0)</f>
        <v>0</v>
      </c>
      <c r="H21" s="182"/>
      <c r="I21" s="182"/>
      <c r="J21" s="182"/>
      <c r="K21" s="181">
        <f>IFERROR(ROUND((($D21*$H21)+($D21*$I21*0.8)+($D21*$J21*0.9)),2),0)</f>
        <v>0</v>
      </c>
      <c r="L21" s="181">
        <f>IFERROR(ROUND((($E21*$H21)+($E21*$I21*0.8)+($E21*$J21*0.9)),2),0)</f>
        <v>0</v>
      </c>
      <c r="M21" s="181">
        <f>IFERROR(ROUND((($F21*$H21)+($F21*$I21*0.8)+($F21*$J21*0.9)),2),0)</f>
        <v>0</v>
      </c>
      <c r="N21" s="181">
        <f>IFERROR(ROUND($M21-$L21,2),0)</f>
        <v>0</v>
      </c>
      <c r="O21" s="183"/>
    </row>
    <row r="22" spans="1:15" s="27" customFormat="1" x14ac:dyDescent="0.55000000000000004">
      <c r="A22" s="179"/>
      <c r="B22" s="179"/>
      <c r="C22" s="180" t="s">
        <v>96</v>
      </c>
      <c r="D22" s="181"/>
      <c r="E22" s="181"/>
      <c r="F22" s="181"/>
      <c r="G22" s="16">
        <f t="shared" ref="G22:G25" si="1">IFERROR(ROUND(($F22/$E22)-1,3),0)</f>
        <v>0</v>
      </c>
      <c r="H22" s="182"/>
      <c r="I22" s="182"/>
      <c r="J22" s="182"/>
      <c r="K22" s="181">
        <f t="shared" ref="K22:K25" si="2">IFERROR(ROUND((($D22*$H22)+($D22*$I22*0.8)+($D22*$J22*0.9)),2),0)</f>
        <v>0</v>
      </c>
      <c r="L22" s="181">
        <f t="shared" ref="L22:L25" si="3">IFERROR(ROUND((($E22*$H22)+($E22*$I22*0.8)+($E22*$J22*0.9)),2),0)</f>
        <v>0</v>
      </c>
      <c r="M22" s="181">
        <f t="shared" ref="M22:M25" si="4">IFERROR(ROUND((($F22*$H22)+($F22*$I22*0.8)+($F22*$J22*0.9)),2),0)</f>
        <v>0</v>
      </c>
      <c r="N22" s="181">
        <f t="shared" ref="N22:N25" si="5">IFERROR(ROUND($M22-$L22,2),0)</f>
        <v>0</v>
      </c>
      <c r="O22" s="183"/>
    </row>
    <row r="23" spans="1:15" s="27" customFormat="1" x14ac:dyDescent="0.55000000000000004">
      <c r="A23" s="179"/>
      <c r="B23" s="179"/>
      <c r="C23" s="180" t="s">
        <v>96</v>
      </c>
      <c r="D23" s="181"/>
      <c r="E23" s="181"/>
      <c r="F23" s="181"/>
      <c r="G23" s="16">
        <f t="shared" si="1"/>
        <v>0</v>
      </c>
      <c r="H23" s="182"/>
      <c r="I23" s="182"/>
      <c r="J23" s="182"/>
      <c r="K23" s="181">
        <f t="shared" si="2"/>
        <v>0</v>
      </c>
      <c r="L23" s="181">
        <f t="shared" si="3"/>
        <v>0</v>
      </c>
      <c r="M23" s="181">
        <f t="shared" si="4"/>
        <v>0</v>
      </c>
      <c r="N23" s="181">
        <f t="shared" si="5"/>
        <v>0</v>
      </c>
      <c r="O23" s="183"/>
    </row>
    <row r="24" spans="1:15" s="27" customFormat="1" x14ac:dyDescent="0.55000000000000004">
      <c r="A24" s="179"/>
      <c r="B24" s="179"/>
      <c r="C24" s="180" t="s">
        <v>96</v>
      </c>
      <c r="D24" s="181"/>
      <c r="E24" s="181"/>
      <c r="F24" s="181"/>
      <c r="G24" s="16">
        <f t="shared" si="1"/>
        <v>0</v>
      </c>
      <c r="H24" s="182"/>
      <c r="I24" s="182"/>
      <c r="J24" s="182"/>
      <c r="K24" s="181">
        <f t="shared" si="2"/>
        <v>0</v>
      </c>
      <c r="L24" s="181">
        <f t="shared" si="3"/>
        <v>0</v>
      </c>
      <c r="M24" s="181">
        <f t="shared" si="4"/>
        <v>0</v>
      </c>
      <c r="N24" s="181">
        <f t="shared" si="5"/>
        <v>0</v>
      </c>
      <c r="O24" s="183"/>
    </row>
    <row r="25" spans="1:15" s="27" customFormat="1" x14ac:dyDescent="0.55000000000000004">
      <c r="A25" s="179"/>
      <c r="B25" s="179"/>
      <c r="C25" s="180" t="s">
        <v>96</v>
      </c>
      <c r="D25" s="181"/>
      <c r="E25" s="181"/>
      <c r="F25" s="181"/>
      <c r="G25" s="16">
        <f t="shared" si="1"/>
        <v>0</v>
      </c>
      <c r="H25" s="182"/>
      <c r="I25" s="182"/>
      <c r="J25" s="182"/>
      <c r="K25" s="181">
        <f t="shared" si="2"/>
        <v>0</v>
      </c>
      <c r="L25" s="181">
        <f t="shared" si="3"/>
        <v>0</v>
      </c>
      <c r="M25" s="181">
        <f t="shared" si="4"/>
        <v>0</v>
      </c>
      <c r="N25" s="181">
        <f t="shared" si="5"/>
        <v>0</v>
      </c>
      <c r="O25" s="183"/>
    </row>
    <row r="26" spans="1:15" s="27" customFormat="1" x14ac:dyDescent="0.55000000000000004">
      <c r="A26" s="174"/>
      <c r="B26" s="175" t="s">
        <v>99</v>
      </c>
      <c r="C26" s="175" t="s">
        <v>100</v>
      </c>
      <c r="D26" s="176"/>
      <c r="E26" s="176"/>
      <c r="F26" s="176"/>
      <c r="G26" s="176"/>
      <c r="H26" s="177"/>
      <c r="I26" s="177"/>
      <c r="J26" s="177"/>
      <c r="K26" s="178"/>
      <c r="L26" s="178"/>
      <c r="M26" s="178"/>
      <c r="N26" s="178"/>
      <c r="O26" s="183"/>
    </row>
    <row r="27" spans="1:15" s="27" customFormat="1" x14ac:dyDescent="0.55000000000000004">
      <c r="A27" s="179" t="s">
        <v>97</v>
      </c>
      <c r="B27" s="184" t="s">
        <v>101</v>
      </c>
      <c r="C27" s="180" t="s">
        <v>100</v>
      </c>
      <c r="D27" s="181"/>
      <c r="E27" s="181"/>
      <c r="F27" s="181"/>
      <c r="G27" s="16">
        <f>IFERROR(ROUND(($F27/$E27)-1,3),0)</f>
        <v>0</v>
      </c>
      <c r="H27" s="182"/>
      <c r="I27" s="182"/>
      <c r="J27" s="182"/>
      <c r="K27" s="181">
        <f t="shared" ref="K27:K31" si="6">IFERROR(ROUND((($D27*$H27)+($D27*$I27*0.8)+($D27*$J27*0.9)),2),0)</f>
        <v>0</v>
      </c>
      <c r="L27" s="181">
        <f t="shared" ref="L27:L31" si="7">IFERROR(ROUND((($E27*$H27)+($E27*$I27*0.8)+($E27*$J27*0.9)),2),0)</f>
        <v>0</v>
      </c>
      <c r="M27" s="181">
        <f t="shared" ref="M27:M31" si="8">IFERROR(ROUND((($F27*$H27)+($F27*$I27*0.8)+($F27*$J27*0.9)),2),0)</f>
        <v>0</v>
      </c>
      <c r="N27" s="181">
        <f t="shared" ref="N27:N31" si="9">IFERROR(ROUND($M27-$L27,2),0)</f>
        <v>0</v>
      </c>
      <c r="O27" s="183"/>
    </row>
    <row r="28" spans="1:15" s="27" customFormat="1" x14ac:dyDescent="0.55000000000000004">
      <c r="A28" s="179"/>
      <c r="B28" s="184"/>
      <c r="C28" s="180" t="s">
        <v>100</v>
      </c>
      <c r="D28" s="181"/>
      <c r="E28" s="181"/>
      <c r="F28" s="181"/>
      <c r="G28" s="16">
        <f t="shared" ref="G28:G31" si="10">IFERROR(ROUND(($F28/$E28)-1,3),0)</f>
        <v>0</v>
      </c>
      <c r="H28" s="182"/>
      <c r="I28" s="182"/>
      <c r="J28" s="182"/>
      <c r="K28" s="181">
        <f t="shared" si="6"/>
        <v>0</v>
      </c>
      <c r="L28" s="181">
        <f t="shared" si="7"/>
        <v>0</v>
      </c>
      <c r="M28" s="181">
        <f t="shared" si="8"/>
        <v>0</v>
      </c>
      <c r="N28" s="181">
        <f t="shared" si="9"/>
        <v>0</v>
      </c>
      <c r="O28" s="183"/>
    </row>
    <row r="29" spans="1:15" s="27" customFormat="1" x14ac:dyDescent="0.55000000000000004">
      <c r="A29" s="179"/>
      <c r="B29" s="184"/>
      <c r="C29" s="180" t="s">
        <v>100</v>
      </c>
      <c r="D29" s="181"/>
      <c r="E29" s="181"/>
      <c r="F29" s="181"/>
      <c r="G29" s="16">
        <f t="shared" si="10"/>
        <v>0</v>
      </c>
      <c r="H29" s="182"/>
      <c r="I29" s="182"/>
      <c r="J29" s="182"/>
      <c r="K29" s="181">
        <f t="shared" si="6"/>
        <v>0</v>
      </c>
      <c r="L29" s="181">
        <f t="shared" si="7"/>
        <v>0</v>
      </c>
      <c r="M29" s="181">
        <f t="shared" si="8"/>
        <v>0</v>
      </c>
      <c r="N29" s="181">
        <f t="shared" si="9"/>
        <v>0</v>
      </c>
      <c r="O29" s="183"/>
    </row>
    <row r="30" spans="1:15" s="27" customFormat="1" x14ac:dyDescent="0.55000000000000004">
      <c r="A30" s="179"/>
      <c r="B30" s="184"/>
      <c r="C30" s="180" t="s">
        <v>100</v>
      </c>
      <c r="D30" s="181"/>
      <c r="E30" s="181"/>
      <c r="F30" s="181"/>
      <c r="G30" s="16">
        <f t="shared" si="10"/>
        <v>0</v>
      </c>
      <c r="H30" s="182"/>
      <c r="I30" s="182"/>
      <c r="J30" s="182"/>
      <c r="K30" s="181">
        <f t="shared" si="6"/>
        <v>0</v>
      </c>
      <c r="L30" s="181">
        <f t="shared" si="7"/>
        <v>0</v>
      </c>
      <c r="M30" s="181">
        <f t="shared" si="8"/>
        <v>0</v>
      </c>
      <c r="N30" s="181">
        <f t="shared" si="9"/>
        <v>0</v>
      </c>
      <c r="O30" s="183"/>
    </row>
    <row r="31" spans="1:15" s="27" customFormat="1" x14ac:dyDescent="0.55000000000000004">
      <c r="A31" s="179"/>
      <c r="B31" s="184"/>
      <c r="C31" s="180" t="s">
        <v>100</v>
      </c>
      <c r="D31" s="181"/>
      <c r="E31" s="181"/>
      <c r="F31" s="181"/>
      <c r="G31" s="16">
        <f t="shared" si="10"/>
        <v>0</v>
      </c>
      <c r="H31" s="182"/>
      <c r="I31" s="182"/>
      <c r="J31" s="182"/>
      <c r="K31" s="181">
        <f t="shared" si="6"/>
        <v>0</v>
      </c>
      <c r="L31" s="181">
        <f t="shared" si="7"/>
        <v>0</v>
      </c>
      <c r="M31" s="181">
        <f t="shared" si="8"/>
        <v>0</v>
      </c>
      <c r="N31" s="181">
        <f t="shared" si="9"/>
        <v>0</v>
      </c>
      <c r="O31" s="183"/>
    </row>
    <row r="32" spans="1:15" s="27" customFormat="1" x14ac:dyDescent="0.55000000000000004">
      <c r="A32" s="174"/>
      <c r="B32" s="175" t="s">
        <v>102</v>
      </c>
      <c r="C32" s="175" t="s">
        <v>103</v>
      </c>
      <c r="D32" s="176"/>
      <c r="E32" s="176"/>
      <c r="F32" s="176"/>
      <c r="G32" s="176"/>
      <c r="H32" s="177"/>
      <c r="I32" s="177"/>
      <c r="J32" s="177"/>
      <c r="K32" s="178"/>
      <c r="L32" s="178"/>
      <c r="M32" s="178"/>
      <c r="N32" s="178"/>
      <c r="O32" s="183"/>
    </row>
    <row r="33" spans="1:15" s="27" customFormat="1" x14ac:dyDescent="0.55000000000000004">
      <c r="A33" s="179" t="s">
        <v>97</v>
      </c>
      <c r="B33" s="179" t="s">
        <v>104</v>
      </c>
      <c r="C33" s="180" t="s">
        <v>103</v>
      </c>
      <c r="D33" s="181"/>
      <c r="E33" s="181"/>
      <c r="F33" s="181"/>
      <c r="G33" s="16">
        <f>IFERROR(ROUND(($F33/$E33)-1,3),0)</f>
        <v>0</v>
      </c>
      <c r="H33" s="182"/>
      <c r="I33" s="182"/>
      <c r="J33" s="182"/>
      <c r="K33" s="181">
        <f t="shared" ref="K33:K37" si="11">IFERROR(ROUND((($D33*$H33)+($D33*$I33*0.8)+($D33*$J33*0.9)),2),0)</f>
        <v>0</v>
      </c>
      <c r="L33" s="181">
        <f t="shared" ref="L33:L37" si="12">IFERROR(ROUND((($E33*$H33)+($E33*$I33*0.8)+($E33*$J33*0.9)),2),0)</f>
        <v>0</v>
      </c>
      <c r="M33" s="181">
        <f t="shared" ref="M33:M37" si="13">IFERROR(ROUND((($F33*$H33)+($F33*$I33*0.8)+($F33*$J33*0.9)),2),0)</f>
        <v>0</v>
      </c>
      <c r="N33" s="181">
        <f t="shared" ref="N33:N37" si="14">IFERROR(ROUND($M33-$L33,2),0)</f>
        <v>0</v>
      </c>
      <c r="O33" s="183"/>
    </row>
    <row r="34" spans="1:15" s="27" customFormat="1" x14ac:dyDescent="0.55000000000000004">
      <c r="A34" s="179"/>
      <c r="B34" s="179"/>
      <c r="C34" s="180" t="s">
        <v>103</v>
      </c>
      <c r="D34" s="181"/>
      <c r="E34" s="181"/>
      <c r="F34" s="181"/>
      <c r="G34" s="16">
        <f t="shared" ref="G34:G37" si="15">IFERROR(ROUND(($F34/$E34)-1,3),0)</f>
        <v>0</v>
      </c>
      <c r="H34" s="182"/>
      <c r="I34" s="182"/>
      <c r="J34" s="182"/>
      <c r="K34" s="181">
        <f t="shared" si="11"/>
        <v>0</v>
      </c>
      <c r="L34" s="181">
        <f t="shared" si="12"/>
        <v>0</v>
      </c>
      <c r="M34" s="181">
        <f t="shared" si="13"/>
        <v>0</v>
      </c>
      <c r="N34" s="181">
        <f t="shared" si="14"/>
        <v>0</v>
      </c>
      <c r="O34" s="183"/>
    </row>
    <row r="35" spans="1:15" s="27" customFormat="1" x14ac:dyDescent="0.55000000000000004">
      <c r="A35" s="179"/>
      <c r="B35" s="179"/>
      <c r="C35" s="180" t="s">
        <v>103</v>
      </c>
      <c r="D35" s="181"/>
      <c r="E35" s="181"/>
      <c r="F35" s="181"/>
      <c r="G35" s="16">
        <f t="shared" si="15"/>
        <v>0</v>
      </c>
      <c r="H35" s="182"/>
      <c r="I35" s="182"/>
      <c r="J35" s="182"/>
      <c r="K35" s="181">
        <f t="shared" si="11"/>
        <v>0</v>
      </c>
      <c r="L35" s="181">
        <f t="shared" si="12"/>
        <v>0</v>
      </c>
      <c r="M35" s="181">
        <f t="shared" si="13"/>
        <v>0</v>
      </c>
      <c r="N35" s="181">
        <f t="shared" si="14"/>
        <v>0</v>
      </c>
      <c r="O35" s="183"/>
    </row>
    <row r="36" spans="1:15" s="27" customFormat="1" x14ac:dyDescent="0.55000000000000004">
      <c r="A36" s="179"/>
      <c r="B36" s="179"/>
      <c r="C36" s="180" t="s">
        <v>103</v>
      </c>
      <c r="D36" s="181"/>
      <c r="E36" s="181"/>
      <c r="F36" s="181"/>
      <c r="G36" s="16">
        <f t="shared" si="15"/>
        <v>0</v>
      </c>
      <c r="H36" s="182"/>
      <c r="I36" s="182"/>
      <c r="J36" s="182"/>
      <c r="K36" s="181">
        <f t="shared" si="11"/>
        <v>0</v>
      </c>
      <c r="L36" s="181">
        <f t="shared" si="12"/>
        <v>0</v>
      </c>
      <c r="M36" s="181">
        <f t="shared" si="13"/>
        <v>0</v>
      </c>
      <c r="N36" s="181">
        <f t="shared" si="14"/>
        <v>0</v>
      </c>
      <c r="O36" s="183"/>
    </row>
    <row r="37" spans="1:15" s="27" customFormat="1" x14ac:dyDescent="0.55000000000000004">
      <c r="A37" s="179"/>
      <c r="B37" s="179"/>
      <c r="C37" s="180" t="s">
        <v>103</v>
      </c>
      <c r="D37" s="181"/>
      <c r="E37" s="181"/>
      <c r="F37" s="181"/>
      <c r="G37" s="16">
        <f t="shared" si="15"/>
        <v>0</v>
      </c>
      <c r="H37" s="182"/>
      <c r="I37" s="182"/>
      <c r="J37" s="182"/>
      <c r="K37" s="181">
        <f t="shared" si="11"/>
        <v>0</v>
      </c>
      <c r="L37" s="181">
        <f t="shared" si="12"/>
        <v>0</v>
      </c>
      <c r="M37" s="181">
        <f t="shared" si="13"/>
        <v>0</v>
      </c>
      <c r="N37" s="181">
        <f t="shared" si="14"/>
        <v>0</v>
      </c>
      <c r="O37" s="183"/>
    </row>
    <row r="38" spans="1:15" s="27" customFormat="1" x14ac:dyDescent="0.55000000000000004">
      <c r="A38" s="174"/>
      <c r="B38" s="175" t="s">
        <v>105</v>
      </c>
      <c r="C38" s="175" t="s">
        <v>106</v>
      </c>
      <c r="D38" s="176"/>
      <c r="E38" s="176"/>
      <c r="F38" s="176"/>
      <c r="G38" s="176"/>
      <c r="H38" s="177"/>
      <c r="I38" s="177"/>
      <c r="J38" s="177"/>
      <c r="K38" s="178"/>
      <c r="L38" s="178"/>
      <c r="M38" s="178"/>
      <c r="N38" s="178"/>
      <c r="O38" s="183"/>
    </row>
    <row r="39" spans="1:15" s="27" customFormat="1" x14ac:dyDescent="0.55000000000000004">
      <c r="A39" s="179" t="s">
        <v>97</v>
      </c>
      <c r="B39" s="179" t="s">
        <v>107</v>
      </c>
      <c r="C39" s="180" t="s">
        <v>106</v>
      </c>
      <c r="D39" s="181"/>
      <c r="E39" s="181"/>
      <c r="F39" s="181"/>
      <c r="G39" s="16">
        <f>IFERROR(ROUND(($F39/$E39)-1,3),0)</f>
        <v>0</v>
      </c>
      <c r="H39" s="182"/>
      <c r="I39" s="182"/>
      <c r="J39" s="182"/>
      <c r="K39" s="181">
        <f t="shared" ref="K39:K43" si="16">IFERROR(ROUND((($D39*$H39)+($D39*$I39*0.8)+($D39*$J39*0.9)),2),0)</f>
        <v>0</v>
      </c>
      <c r="L39" s="181">
        <f t="shared" ref="L39:L43" si="17">IFERROR(ROUND((($E39*$H39)+($E39*$I39*0.8)+($E39*$J39*0.9)),2),0)</f>
        <v>0</v>
      </c>
      <c r="M39" s="181">
        <f t="shared" ref="M39:M43" si="18">IFERROR(ROUND((($F39*$H39)+($F39*$I39*0.8)+($F39*$J39*0.9)),2),0)</f>
        <v>0</v>
      </c>
      <c r="N39" s="181">
        <f t="shared" ref="N39:N43" si="19">IFERROR(ROUND($M39-$L39,2),0)</f>
        <v>0</v>
      </c>
      <c r="O39" s="183"/>
    </row>
    <row r="40" spans="1:15" s="27" customFormat="1" x14ac:dyDescent="0.55000000000000004">
      <c r="A40" s="179"/>
      <c r="B40" s="179"/>
      <c r="C40" s="180" t="s">
        <v>106</v>
      </c>
      <c r="D40" s="181"/>
      <c r="E40" s="181"/>
      <c r="F40" s="181"/>
      <c r="G40" s="16">
        <f t="shared" ref="G40:G43" si="20">IFERROR(ROUND(($F40/$E40)-1,3),0)</f>
        <v>0</v>
      </c>
      <c r="H40" s="182"/>
      <c r="I40" s="182"/>
      <c r="J40" s="182"/>
      <c r="K40" s="181">
        <f t="shared" si="16"/>
        <v>0</v>
      </c>
      <c r="L40" s="181">
        <f t="shared" si="17"/>
        <v>0</v>
      </c>
      <c r="M40" s="181">
        <f t="shared" si="18"/>
        <v>0</v>
      </c>
      <c r="N40" s="181">
        <f t="shared" si="19"/>
        <v>0</v>
      </c>
      <c r="O40" s="183"/>
    </row>
    <row r="41" spans="1:15" s="27" customFormat="1" x14ac:dyDescent="0.55000000000000004">
      <c r="A41" s="179"/>
      <c r="B41" s="179"/>
      <c r="C41" s="180" t="s">
        <v>106</v>
      </c>
      <c r="D41" s="181"/>
      <c r="E41" s="181"/>
      <c r="F41" s="181"/>
      <c r="G41" s="16">
        <f t="shared" si="20"/>
        <v>0</v>
      </c>
      <c r="H41" s="182"/>
      <c r="I41" s="182"/>
      <c r="J41" s="182"/>
      <c r="K41" s="181">
        <f t="shared" si="16"/>
        <v>0</v>
      </c>
      <c r="L41" s="181">
        <f t="shared" si="17"/>
        <v>0</v>
      </c>
      <c r="M41" s="181">
        <f t="shared" si="18"/>
        <v>0</v>
      </c>
      <c r="N41" s="181">
        <f t="shared" si="19"/>
        <v>0</v>
      </c>
      <c r="O41" s="183"/>
    </row>
    <row r="42" spans="1:15" s="27" customFormat="1" x14ac:dyDescent="0.55000000000000004">
      <c r="A42" s="179"/>
      <c r="B42" s="179"/>
      <c r="C42" s="180" t="s">
        <v>106</v>
      </c>
      <c r="D42" s="181"/>
      <c r="E42" s="181"/>
      <c r="F42" s="181"/>
      <c r="G42" s="16">
        <f t="shared" si="20"/>
        <v>0</v>
      </c>
      <c r="H42" s="182"/>
      <c r="I42" s="182"/>
      <c r="J42" s="182"/>
      <c r="K42" s="181">
        <f t="shared" si="16"/>
        <v>0</v>
      </c>
      <c r="L42" s="181">
        <f t="shared" si="17"/>
        <v>0</v>
      </c>
      <c r="M42" s="181">
        <f t="shared" si="18"/>
        <v>0</v>
      </c>
      <c r="N42" s="181">
        <f t="shared" si="19"/>
        <v>0</v>
      </c>
      <c r="O42" s="183"/>
    </row>
    <row r="43" spans="1:15" s="27" customFormat="1" x14ac:dyDescent="0.55000000000000004">
      <c r="A43" s="179"/>
      <c r="B43" s="179"/>
      <c r="C43" s="180" t="s">
        <v>106</v>
      </c>
      <c r="D43" s="181"/>
      <c r="E43" s="181"/>
      <c r="F43" s="181"/>
      <c r="G43" s="16">
        <f t="shared" si="20"/>
        <v>0</v>
      </c>
      <c r="H43" s="182"/>
      <c r="I43" s="182"/>
      <c r="J43" s="182"/>
      <c r="K43" s="181">
        <f t="shared" si="16"/>
        <v>0</v>
      </c>
      <c r="L43" s="181">
        <f t="shared" si="17"/>
        <v>0</v>
      </c>
      <c r="M43" s="181">
        <f t="shared" si="18"/>
        <v>0</v>
      </c>
      <c r="N43" s="181">
        <f t="shared" si="19"/>
        <v>0</v>
      </c>
      <c r="O43" s="183"/>
    </row>
    <row r="44" spans="1:15" s="27" customFormat="1" x14ac:dyDescent="0.55000000000000004">
      <c r="A44" s="174"/>
      <c r="B44" s="175" t="s">
        <v>108</v>
      </c>
      <c r="C44" s="175" t="s">
        <v>109</v>
      </c>
      <c r="D44" s="176"/>
      <c r="E44" s="176"/>
      <c r="F44" s="176"/>
      <c r="G44" s="176"/>
      <c r="H44" s="177"/>
      <c r="I44" s="177"/>
      <c r="J44" s="177"/>
      <c r="K44" s="178"/>
      <c r="L44" s="178"/>
      <c r="M44" s="178"/>
      <c r="N44" s="178"/>
      <c r="O44" s="183"/>
    </row>
    <row r="45" spans="1:15" s="27" customFormat="1" x14ac:dyDescent="0.55000000000000004">
      <c r="A45" s="179" t="s">
        <v>97</v>
      </c>
      <c r="B45" s="179" t="s">
        <v>110</v>
      </c>
      <c r="C45" s="180" t="s">
        <v>109</v>
      </c>
      <c r="D45" s="181"/>
      <c r="E45" s="181"/>
      <c r="F45" s="181"/>
      <c r="G45" s="16">
        <f>IFERROR(ROUND(($F45/$E45)-1,3),0)</f>
        <v>0</v>
      </c>
      <c r="H45" s="182"/>
      <c r="I45" s="182"/>
      <c r="J45" s="182"/>
      <c r="K45" s="181">
        <f t="shared" ref="K45:K49" si="21">IFERROR(ROUND((($D45*$H45)+($D45*$I45*0.8)+($D45*$J45*0.9)),2),0)</f>
        <v>0</v>
      </c>
      <c r="L45" s="181">
        <f t="shared" ref="L45:L49" si="22">IFERROR(ROUND((($E45*$H45)+($E45*$I45*0.8)+($E45*$J45*0.9)),2),0)</f>
        <v>0</v>
      </c>
      <c r="M45" s="181">
        <f t="shared" ref="M45:M49" si="23">IFERROR(ROUND((($F45*$H45)+($F45*$I45*0.8)+($F45*$J45*0.9)),2),0)</f>
        <v>0</v>
      </c>
      <c r="N45" s="181">
        <f t="shared" ref="N45:N49" si="24">IFERROR(ROUND($M45-$L45,2),0)</f>
        <v>0</v>
      </c>
      <c r="O45" s="183"/>
    </row>
    <row r="46" spans="1:15" s="27" customFormat="1" x14ac:dyDescent="0.55000000000000004">
      <c r="A46" s="179"/>
      <c r="B46" s="179"/>
      <c r="C46" s="180" t="s">
        <v>109</v>
      </c>
      <c r="D46" s="181"/>
      <c r="E46" s="181"/>
      <c r="F46" s="181"/>
      <c r="G46" s="16">
        <f t="shared" ref="G46:G49" si="25">IFERROR(ROUND(($F46/$E46)-1,3),0)</f>
        <v>0</v>
      </c>
      <c r="H46" s="182"/>
      <c r="I46" s="182"/>
      <c r="J46" s="182"/>
      <c r="K46" s="181">
        <f t="shared" si="21"/>
        <v>0</v>
      </c>
      <c r="L46" s="181">
        <f t="shared" si="22"/>
        <v>0</v>
      </c>
      <c r="M46" s="181">
        <f t="shared" si="23"/>
        <v>0</v>
      </c>
      <c r="N46" s="181">
        <f t="shared" si="24"/>
        <v>0</v>
      </c>
      <c r="O46" s="183"/>
    </row>
    <row r="47" spans="1:15" s="27" customFormat="1" x14ac:dyDescent="0.55000000000000004">
      <c r="A47" s="179"/>
      <c r="B47" s="179"/>
      <c r="C47" s="180" t="s">
        <v>109</v>
      </c>
      <c r="D47" s="181"/>
      <c r="E47" s="181"/>
      <c r="F47" s="181"/>
      <c r="G47" s="16">
        <f t="shared" si="25"/>
        <v>0</v>
      </c>
      <c r="H47" s="182"/>
      <c r="I47" s="182"/>
      <c r="J47" s="182"/>
      <c r="K47" s="181">
        <f t="shared" si="21"/>
        <v>0</v>
      </c>
      <c r="L47" s="181">
        <f t="shared" si="22"/>
        <v>0</v>
      </c>
      <c r="M47" s="181">
        <f t="shared" si="23"/>
        <v>0</v>
      </c>
      <c r="N47" s="181">
        <f t="shared" si="24"/>
        <v>0</v>
      </c>
      <c r="O47" s="170"/>
    </row>
    <row r="48" spans="1:15" s="27" customFormat="1" x14ac:dyDescent="0.55000000000000004">
      <c r="A48" s="179"/>
      <c r="B48" s="179"/>
      <c r="C48" s="180" t="s">
        <v>109</v>
      </c>
      <c r="D48" s="181"/>
      <c r="E48" s="181"/>
      <c r="F48" s="181"/>
      <c r="G48" s="16">
        <f t="shared" si="25"/>
        <v>0</v>
      </c>
      <c r="H48" s="182"/>
      <c r="I48" s="182"/>
      <c r="J48" s="182"/>
      <c r="K48" s="181">
        <f t="shared" si="21"/>
        <v>0</v>
      </c>
      <c r="L48" s="181">
        <f t="shared" si="22"/>
        <v>0</v>
      </c>
      <c r="M48" s="181">
        <f t="shared" si="23"/>
        <v>0</v>
      </c>
      <c r="N48" s="181">
        <f t="shared" si="24"/>
        <v>0</v>
      </c>
      <c r="O48" s="183"/>
    </row>
    <row r="49" spans="1:15" s="27" customFormat="1" x14ac:dyDescent="0.55000000000000004">
      <c r="A49" s="179"/>
      <c r="B49" s="179"/>
      <c r="C49" s="180" t="s">
        <v>109</v>
      </c>
      <c r="D49" s="181"/>
      <c r="E49" s="181"/>
      <c r="F49" s="181"/>
      <c r="G49" s="16">
        <f t="shared" si="25"/>
        <v>0</v>
      </c>
      <c r="H49" s="182"/>
      <c r="I49" s="182"/>
      <c r="J49" s="182"/>
      <c r="K49" s="181">
        <f t="shared" si="21"/>
        <v>0</v>
      </c>
      <c r="L49" s="181">
        <f t="shared" si="22"/>
        <v>0</v>
      </c>
      <c r="M49" s="181">
        <f t="shared" si="23"/>
        <v>0</v>
      </c>
      <c r="N49" s="181">
        <f t="shared" si="24"/>
        <v>0</v>
      </c>
      <c r="O49" s="170"/>
    </row>
    <row r="50" spans="1:15" s="27" customFormat="1" x14ac:dyDescent="0.55000000000000004">
      <c r="A50" s="174"/>
      <c r="B50" s="175" t="s">
        <v>111</v>
      </c>
      <c r="C50" s="175" t="s">
        <v>112</v>
      </c>
      <c r="D50" s="176"/>
      <c r="E50" s="176"/>
      <c r="F50" s="176"/>
      <c r="G50" s="176"/>
      <c r="H50" s="177"/>
      <c r="I50" s="177"/>
      <c r="J50" s="177"/>
      <c r="K50" s="178"/>
      <c r="L50" s="178"/>
      <c r="M50" s="178"/>
      <c r="N50" s="178"/>
      <c r="O50" s="170"/>
    </row>
    <row r="51" spans="1:15" s="27" customFormat="1" x14ac:dyDescent="0.55000000000000004">
      <c r="A51" s="179" t="s">
        <v>97</v>
      </c>
      <c r="B51" s="179" t="s">
        <v>113</v>
      </c>
      <c r="C51" s="180" t="s">
        <v>112</v>
      </c>
      <c r="D51" s="181"/>
      <c r="E51" s="181"/>
      <c r="F51" s="181"/>
      <c r="G51" s="16">
        <f>IFERROR(ROUND(($F51/$E51)-1,3),0)</f>
        <v>0</v>
      </c>
      <c r="H51" s="182"/>
      <c r="I51" s="182"/>
      <c r="J51" s="182"/>
      <c r="K51" s="181">
        <f t="shared" ref="K51:K55" si="26">IFERROR(ROUND((($D51*$H51)+($D51*$I51*0.8)+($D51*$J51*0.9)),2),0)</f>
        <v>0</v>
      </c>
      <c r="L51" s="181">
        <f t="shared" ref="L51:L55" si="27">IFERROR(ROUND((($E51*$H51)+($E51*$I51*0.8)+($E51*$J51*0.9)),2),0)</f>
        <v>0</v>
      </c>
      <c r="M51" s="181">
        <f t="shared" ref="M51:M55" si="28">IFERROR(ROUND((($F51*$H51)+($F51*$I51*0.8)+($F51*$J51*0.9)),2),0)</f>
        <v>0</v>
      </c>
      <c r="N51" s="181">
        <f t="shared" ref="N51:N55" si="29">IFERROR(ROUND($M51-$L51,2),0)</f>
        <v>0</v>
      </c>
      <c r="O51" s="183"/>
    </row>
    <row r="52" spans="1:15" s="27" customFormat="1" x14ac:dyDescent="0.55000000000000004">
      <c r="A52" s="179"/>
      <c r="B52" s="179"/>
      <c r="C52" s="180" t="s">
        <v>134</v>
      </c>
      <c r="D52" s="181"/>
      <c r="E52" s="181"/>
      <c r="F52" s="181"/>
      <c r="G52" s="16">
        <f t="shared" ref="G52:G55" si="30">IFERROR(ROUND(($F52/$E52)-1,3),0)</f>
        <v>0</v>
      </c>
      <c r="H52" s="182"/>
      <c r="I52" s="182"/>
      <c r="J52" s="182"/>
      <c r="K52" s="181">
        <f t="shared" si="26"/>
        <v>0</v>
      </c>
      <c r="L52" s="181">
        <f t="shared" si="27"/>
        <v>0</v>
      </c>
      <c r="M52" s="181">
        <f t="shared" si="28"/>
        <v>0</v>
      </c>
      <c r="N52" s="181">
        <f t="shared" si="29"/>
        <v>0</v>
      </c>
      <c r="O52" s="183"/>
    </row>
    <row r="53" spans="1:15" s="27" customFormat="1" x14ac:dyDescent="0.55000000000000004">
      <c r="A53" s="179"/>
      <c r="B53" s="179"/>
      <c r="C53" s="180" t="s">
        <v>115</v>
      </c>
      <c r="D53" s="181"/>
      <c r="E53" s="181"/>
      <c r="F53" s="181"/>
      <c r="G53" s="16">
        <f t="shared" si="30"/>
        <v>0</v>
      </c>
      <c r="H53" s="182"/>
      <c r="I53" s="182"/>
      <c r="J53" s="182"/>
      <c r="K53" s="181">
        <f t="shared" si="26"/>
        <v>0</v>
      </c>
      <c r="L53" s="181">
        <f t="shared" si="27"/>
        <v>0</v>
      </c>
      <c r="M53" s="181">
        <f t="shared" si="28"/>
        <v>0</v>
      </c>
      <c r="N53" s="181">
        <f t="shared" si="29"/>
        <v>0</v>
      </c>
      <c r="O53" s="183"/>
    </row>
    <row r="54" spans="1:15" s="27" customFormat="1" x14ac:dyDescent="0.55000000000000004">
      <c r="A54" s="179"/>
      <c r="B54" s="179"/>
      <c r="C54" s="180" t="s">
        <v>135</v>
      </c>
      <c r="D54" s="181"/>
      <c r="E54" s="181"/>
      <c r="F54" s="181"/>
      <c r="G54" s="16">
        <f t="shared" si="30"/>
        <v>0</v>
      </c>
      <c r="H54" s="182"/>
      <c r="I54" s="182"/>
      <c r="J54" s="182"/>
      <c r="K54" s="181">
        <f t="shared" si="26"/>
        <v>0</v>
      </c>
      <c r="L54" s="181">
        <f t="shared" si="27"/>
        <v>0</v>
      </c>
      <c r="M54" s="181">
        <f t="shared" si="28"/>
        <v>0</v>
      </c>
      <c r="N54" s="181">
        <f t="shared" si="29"/>
        <v>0</v>
      </c>
      <c r="O54" s="183"/>
    </row>
    <row r="55" spans="1:15" s="27" customFormat="1" x14ac:dyDescent="0.55000000000000004">
      <c r="A55" s="179"/>
      <c r="B55" s="179"/>
      <c r="C55" s="180" t="s">
        <v>136</v>
      </c>
      <c r="D55" s="181"/>
      <c r="E55" s="181"/>
      <c r="F55" s="181"/>
      <c r="G55" s="16">
        <f t="shared" si="30"/>
        <v>0</v>
      </c>
      <c r="H55" s="182"/>
      <c r="I55" s="182"/>
      <c r="J55" s="182"/>
      <c r="K55" s="181">
        <f t="shared" si="26"/>
        <v>0</v>
      </c>
      <c r="L55" s="181">
        <f t="shared" si="27"/>
        <v>0</v>
      </c>
      <c r="M55" s="181">
        <f t="shared" si="28"/>
        <v>0</v>
      </c>
      <c r="N55" s="181">
        <f t="shared" si="29"/>
        <v>0</v>
      </c>
      <c r="O55" s="183"/>
    </row>
    <row r="56" spans="1:15" s="27" customFormat="1" x14ac:dyDescent="0.55000000000000004">
      <c r="A56" s="174"/>
      <c r="B56" s="175" t="s">
        <v>114</v>
      </c>
      <c r="C56" s="175" t="s">
        <v>115</v>
      </c>
      <c r="D56" s="176"/>
      <c r="E56" s="176"/>
      <c r="F56" s="176"/>
      <c r="G56" s="176"/>
      <c r="H56" s="177"/>
      <c r="I56" s="177"/>
      <c r="J56" s="177"/>
      <c r="K56" s="178"/>
      <c r="L56" s="178"/>
      <c r="M56" s="178"/>
      <c r="N56" s="178"/>
      <c r="O56" s="183"/>
    </row>
    <row r="57" spans="1:15" s="27" customFormat="1" x14ac:dyDescent="0.55000000000000004">
      <c r="A57" s="179" t="s">
        <v>97</v>
      </c>
      <c r="B57" s="179" t="s">
        <v>116</v>
      </c>
      <c r="C57" s="180" t="s">
        <v>115</v>
      </c>
      <c r="D57" s="181"/>
      <c r="E57" s="181"/>
      <c r="F57" s="181"/>
      <c r="G57" s="16">
        <f>IFERROR(ROUND(($F57/$E57)-1,3),0)</f>
        <v>0</v>
      </c>
      <c r="H57" s="182"/>
      <c r="I57" s="182"/>
      <c r="J57" s="182"/>
      <c r="K57" s="181">
        <f t="shared" ref="K57:K61" si="31">IFERROR(ROUND((($D57*$H57)+($D57*$I57*0.8)+($D57*$J57*0.9)),2),0)</f>
        <v>0</v>
      </c>
      <c r="L57" s="181">
        <f t="shared" ref="L57:L61" si="32">IFERROR(ROUND((($E57*$H57)+($E57*$I57*0.8)+($E57*$J57*0.9)),2),0)</f>
        <v>0</v>
      </c>
      <c r="M57" s="181">
        <f t="shared" ref="M57:M61" si="33">IFERROR(ROUND((($F57*$H57)+($F57*$I57*0.8)+($F57*$J57*0.9)),2),0)</f>
        <v>0</v>
      </c>
      <c r="N57" s="181">
        <f t="shared" ref="N57:N61" si="34">IFERROR(ROUND($M57-$L57,2),0)</f>
        <v>0</v>
      </c>
      <c r="O57" s="183"/>
    </row>
    <row r="58" spans="1:15" s="27" customFormat="1" x14ac:dyDescent="0.55000000000000004">
      <c r="A58" s="179"/>
      <c r="B58" s="179"/>
      <c r="C58" s="180" t="s">
        <v>135</v>
      </c>
      <c r="D58" s="181"/>
      <c r="E58" s="181"/>
      <c r="F58" s="181"/>
      <c r="G58" s="16">
        <f t="shared" ref="G58:G61" si="35">IFERROR(ROUND(($F58/$E58)-1,3),0)</f>
        <v>0</v>
      </c>
      <c r="H58" s="182"/>
      <c r="I58" s="182"/>
      <c r="J58" s="182"/>
      <c r="K58" s="181">
        <f t="shared" si="31"/>
        <v>0</v>
      </c>
      <c r="L58" s="181">
        <f t="shared" si="32"/>
        <v>0</v>
      </c>
      <c r="M58" s="181">
        <f t="shared" si="33"/>
        <v>0</v>
      </c>
      <c r="N58" s="181">
        <f t="shared" si="34"/>
        <v>0</v>
      </c>
      <c r="O58" s="183"/>
    </row>
    <row r="59" spans="1:15" s="27" customFormat="1" x14ac:dyDescent="0.55000000000000004">
      <c r="A59" s="179"/>
      <c r="B59" s="179"/>
      <c r="C59" s="180" t="s">
        <v>136</v>
      </c>
      <c r="D59" s="181"/>
      <c r="E59" s="181"/>
      <c r="F59" s="181"/>
      <c r="G59" s="16">
        <f t="shared" si="35"/>
        <v>0</v>
      </c>
      <c r="H59" s="182"/>
      <c r="I59" s="182"/>
      <c r="J59" s="182"/>
      <c r="K59" s="181">
        <f t="shared" si="31"/>
        <v>0</v>
      </c>
      <c r="L59" s="181">
        <f t="shared" si="32"/>
        <v>0</v>
      </c>
      <c r="M59" s="181">
        <f t="shared" si="33"/>
        <v>0</v>
      </c>
      <c r="N59" s="181">
        <f t="shared" si="34"/>
        <v>0</v>
      </c>
      <c r="O59" s="183"/>
    </row>
    <row r="60" spans="1:15" s="27" customFormat="1" x14ac:dyDescent="0.55000000000000004">
      <c r="A60" s="179"/>
      <c r="B60" s="179"/>
      <c r="C60" s="180" t="s">
        <v>137</v>
      </c>
      <c r="D60" s="181"/>
      <c r="E60" s="181"/>
      <c r="F60" s="181"/>
      <c r="G60" s="16">
        <f t="shared" si="35"/>
        <v>0</v>
      </c>
      <c r="H60" s="182"/>
      <c r="I60" s="182"/>
      <c r="J60" s="182"/>
      <c r="K60" s="181">
        <f t="shared" si="31"/>
        <v>0</v>
      </c>
      <c r="L60" s="181">
        <f t="shared" si="32"/>
        <v>0</v>
      </c>
      <c r="M60" s="181">
        <f t="shared" si="33"/>
        <v>0</v>
      </c>
      <c r="N60" s="181">
        <f t="shared" si="34"/>
        <v>0</v>
      </c>
      <c r="O60" s="183"/>
    </row>
    <row r="61" spans="1:15" s="27" customFormat="1" x14ac:dyDescent="0.55000000000000004">
      <c r="A61" s="179"/>
      <c r="B61" s="179"/>
      <c r="C61" s="180" t="s">
        <v>138</v>
      </c>
      <c r="D61" s="181"/>
      <c r="E61" s="181"/>
      <c r="F61" s="181"/>
      <c r="G61" s="16">
        <f t="shared" si="35"/>
        <v>0</v>
      </c>
      <c r="H61" s="182"/>
      <c r="I61" s="182"/>
      <c r="J61" s="182"/>
      <c r="K61" s="181">
        <f t="shared" si="31"/>
        <v>0</v>
      </c>
      <c r="L61" s="181">
        <f t="shared" si="32"/>
        <v>0</v>
      </c>
      <c r="M61" s="181">
        <f t="shared" si="33"/>
        <v>0</v>
      </c>
      <c r="N61" s="181">
        <f t="shared" si="34"/>
        <v>0</v>
      </c>
      <c r="O61" s="183"/>
    </row>
    <row r="62" spans="1:15" s="27" customFormat="1" x14ac:dyDescent="0.55000000000000004">
      <c r="A62" s="174"/>
      <c r="B62" s="175" t="s">
        <v>117</v>
      </c>
      <c r="C62" s="175" t="s">
        <v>118</v>
      </c>
      <c r="D62" s="176"/>
      <c r="E62" s="176"/>
      <c r="F62" s="176"/>
      <c r="G62" s="176"/>
      <c r="H62" s="177"/>
      <c r="I62" s="177"/>
      <c r="J62" s="177"/>
      <c r="K62" s="178"/>
      <c r="L62" s="178"/>
      <c r="M62" s="178"/>
      <c r="N62" s="178"/>
      <c r="O62" s="183"/>
    </row>
    <row r="63" spans="1:15" s="27" customFormat="1" x14ac:dyDescent="0.55000000000000004">
      <c r="A63" s="179" t="s">
        <v>97</v>
      </c>
      <c r="B63" s="179" t="s">
        <v>119</v>
      </c>
      <c r="C63" s="180" t="s">
        <v>118</v>
      </c>
      <c r="D63" s="181"/>
      <c r="E63" s="181"/>
      <c r="F63" s="181"/>
      <c r="G63" s="16">
        <f>IFERROR(ROUND(($F63/$E63)-1,3),0)</f>
        <v>0</v>
      </c>
      <c r="H63" s="182"/>
      <c r="I63" s="182"/>
      <c r="J63" s="182"/>
      <c r="K63" s="181">
        <f t="shared" ref="K63:K67" si="36">IFERROR(ROUND((($D63*$H63)+($D63*$I63*0.8)+($D63*$J63*0.9)),2),0)</f>
        <v>0</v>
      </c>
      <c r="L63" s="181">
        <f t="shared" ref="L63:L67" si="37">IFERROR(ROUND((($E63*$H63)+($E63*$I63*0.8)+($E63*$J63*0.9)),2),0)</f>
        <v>0</v>
      </c>
      <c r="M63" s="181">
        <f t="shared" ref="M63:M67" si="38">IFERROR(ROUND((($F63*$H63)+($F63*$I63*0.8)+($F63*$J63*0.9)),2),0)</f>
        <v>0</v>
      </c>
      <c r="N63" s="181">
        <f t="shared" ref="N63:N67" si="39">IFERROR(ROUND($M63-$L63,2),0)</f>
        <v>0</v>
      </c>
      <c r="O63" s="183"/>
    </row>
    <row r="64" spans="1:15" s="27" customFormat="1" x14ac:dyDescent="0.55000000000000004">
      <c r="A64" s="179"/>
      <c r="B64" s="179"/>
      <c r="C64" s="180" t="s">
        <v>118</v>
      </c>
      <c r="D64" s="181"/>
      <c r="E64" s="181"/>
      <c r="F64" s="181"/>
      <c r="G64" s="16">
        <f t="shared" ref="G64:G67" si="40">IFERROR(ROUND(($F64/$E64)-1,3),0)</f>
        <v>0</v>
      </c>
      <c r="H64" s="182"/>
      <c r="I64" s="182"/>
      <c r="J64" s="182"/>
      <c r="K64" s="181">
        <f t="shared" si="36"/>
        <v>0</v>
      </c>
      <c r="L64" s="181">
        <f t="shared" si="37"/>
        <v>0</v>
      </c>
      <c r="M64" s="181">
        <f t="shared" si="38"/>
        <v>0</v>
      </c>
      <c r="N64" s="181">
        <f t="shared" si="39"/>
        <v>0</v>
      </c>
      <c r="O64" s="183"/>
    </row>
    <row r="65" spans="1:15" s="27" customFormat="1" x14ac:dyDescent="0.55000000000000004">
      <c r="A65" s="179"/>
      <c r="B65" s="179"/>
      <c r="C65" s="180" t="s">
        <v>118</v>
      </c>
      <c r="D65" s="181"/>
      <c r="E65" s="181"/>
      <c r="F65" s="181"/>
      <c r="G65" s="16">
        <f t="shared" si="40"/>
        <v>0</v>
      </c>
      <c r="H65" s="182"/>
      <c r="I65" s="182"/>
      <c r="J65" s="182"/>
      <c r="K65" s="181">
        <f t="shared" si="36"/>
        <v>0</v>
      </c>
      <c r="L65" s="181">
        <f t="shared" si="37"/>
        <v>0</v>
      </c>
      <c r="M65" s="181">
        <f t="shared" si="38"/>
        <v>0</v>
      </c>
      <c r="N65" s="181">
        <f t="shared" si="39"/>
        <v>0</v>
      </c>
      <c r="O65" s="183"/>
    </row>
    <row r="66" spans="1:15" s="27" customFormat="1" x14ac:dyDescent="0.55000000000000004">
      <c r="A66" s="179"/>
      <c r="B66" s="179"/>
      <c r="C66" s="180" t="s">
        <v>118</v>
      </c>
      <c r="D66" s="181"/>
      <c r="E66" s="181"/>
      <c r="F66" s="181"/>
      <c r="G66" s="16">
        <f t="shared" si="40"/>
        <v>0</v>
      </c>
      <c r="H66" s="182"/>
      <c r="I66" s="182"/>
      <c r="J66" s="182"/>
      <c r="K66" s="181">
        <f t="shared" si="36"/>
        <v>0</v>
      </c>
      <c r="L66" s="181">
        <f t="shared" si="37"/>
        <v>0</v>
      </c>
      <c r="M66" s="181">
        <f t="shared" si="38"/>
        <v>0</v>
      </c>
      <c r="N66" s="181">
        <f t="shared" si="39"/>
        <v>0</v>
      </c>
      <c r="O66" s="183"/>
    </row>
    <row r="67" spans="1:15" s="27" customFormat="1" x14ac:dyDescent="0.55000000000000004">
      <c r="A67" s="179"/>
      <c r="B67" s="179"/>
      <c r="C67" s="180" t="s">
        <v>118</v>
      </c>
      <c r="D67" s="181"/>
      <c r="E67" s="181"/>
      <c r="F67" s="181"/>
      <c r="G67" s="16">
        <f t="shared" si="40"/>
        <v>0</v>
      </c>
      <c r="H67" s="182"/>
      <c r="I67" s="182"/>
      <c r="J67" s="182"/>
      <c r="K67" s="181">
        <f t="shared" si="36"/>
        <v>0</v>
      </c>
      <c r="L67" s="181">
        <f t="shared" si="37"/>
        <v>0</v>
      </c>
      <c r="M67" s="181">
        <f t="shared" si="38"/>
        <v>0</v>
      </c>
      <c r="N67" s="181">
        <f t="shared" si="39"/>
        <v>0</v>
      </c>
      <c r="O67" s="183"/>
    </row>
    <row r="68" spans="1:15" s="27" customFormat="1" ht="28.8" x14ac:dyDescent="0.55000000000000004">
      <c r="A68" s="174"/>
      <c r="B68" s="175" t="s">
        <v>120</v>
      </c>
      <c r="C68" s="175" t="s">
        <v>121</v>
      </c>
      <c r="D68" s="176"/>
      <c r="E68" s="176"/>
      <c r="F68" s="176"/>
      <c r="G68" s="176"/>
      <c r="H68" s="177"/>
      <c r="I68" s="177"/>
      <c r="J68" s="177"/>
      <c r="K68" s="178"/>
      <c r="L68" s="178"/>
      <c r="M68" s="178"/>
      <c r="N68" s="178"/>
      <c r="O68" s="183"/>
    </row>
    <row r="69" spans="1:15" s="27" customFormat="1" ht="28.8" x14ac:dyDescent="0.55000000000000004">
      <c r="A69" s="179" t="s">
        <v>97</v>
      </c>
      <c r="B69" s="184" t="s">
        <v>122</v>
      </c>
      <c r="C69" s="180" t="s">
        <v>121</v>
      </c>
      <c r="D69" s="181"/>
      <c r="E69" s="181"/>
      <c r="F69" s="181"/>
      <c r="G69" s="16">
        <f>IFERROR(ROUND(($F69/$E69)-1,3),0)</f>
        <v>0</v>
      </c>
      <c r="H69" s="182"/>
      <c r="I69" s="182"/>
      <c r="J69" s="182"/>
      <c r="K69" s="181">
        <f t="shared" ref="K69:K73" si="41">IFERROR(ROUND((($D69*$H69)+($D69*$I69*0.8)+($D69*$J69*0.9)),2),0)</f>
        <v>0</v>
      </c>
      <c r="L69" s="181">
        <f t="shared" ref="L69:L73" si="42">IFERROR(ROUND((($E69*$H69)+($E69*$I69*0.8)+($E69*$J69*0.9)),2),0)</f>
        <v>0</v>
      </c>
      <c r="M69" s="181">
        <f t="shared" ref="M69:M73" si="43">IFERROR(ROUND((($F69*$H69)+($F69*$I69*0.8)+($F69*$J69*0.9)),2),0)</f>
        <v>0</v>
      </c>
      <c r="N69" s="181">
        <f t="shared" ref="N69:N73" si="44">IFERROR(ROUND($M69-$L69,2),0)</f>
        <v>0</v>
      </c>
      <c r="O69" s="183"/>
    </row>
    <row r="70" spans="1:15" s="27" customFormat="1" x14ac:dyDescent="0.55000000000000004">
      <c r="A70" s="179"/>
      <c r="B70" s="179"/>
      <c r="C70" s="180" t="s">
        <v>121</v>
      </c>
      <c r="D70" s="181"/>
      <c r="E70" s="181"/>
      <c r="F70" s="181"/>
      <c r="G70" s="16">
        <f t="shared" ref="G70:G73" si="45">IFERROR(ROUND(($F70/$E70)-1,3),0)</f>
        <v>0</v>
      </c>
      <c r="H70" s="182"/>
      <c r="I70" s="182"/>
      <c r="J70" s="182"/>
      <c r="K70" s="181">
        <f t="shared" si="41"/>
        <v>0</v>
      </c>
      <c r="L70" s="181">
        <f t="shared" si="42"/>
        <v>0</v>
      </c>
      <c r="M70" s="181">
        <f t="shared" si="43"/>
        <v>0</v>
      </c>
      <c r="N70" s="181">
        <f t="shared" si="44"/>
        <v>0</v>
      </c>
      <c r="O70" s="183"/>
    </row>
    <row r="71" spans="1:15" s="27" customFormat="1" x14ac:dyDescent="0.55000000000000004">
      <c r="A71" s="179"/>
      <c r="B71" s="179"/>
      <c r="C71" s="180" t="s">
        <v>121</v>
      </c>
      <c r="D71" s="181"/>
      <c r="E71" s="181"/>
      <c r="F71" s="181"/>
      <c r="G71" s="16">
        <f t="shared" si="45"/>
        <v>0</v>
      </c>
      <c r="H71" s="182"/>
      <c r="I71" s="182"/>
      <c r="J71" s="182"/>
      <c r="K71" s="181">
        <f t="shared" si="41"/>
        <v>0</v>
      </c>
      <c r="L71" s="181">
        <f t="shared" si="42"/>
        <v>0</v>
      </c>
      <c r="M71" s="181">
        <f t="shared" si="43"/>
        <v>0</v>
      </c>
      <c r="N71" s="181">
        <f t="shared" si="44"/>
        <v>0</v>
      </c>
      <c r="O71" s="183"/>
    </row>
    <row r="72" spans="1:15" s="27" customFormat="1" x14ac:dyDescent="0.55000000000000004">
      <c r="A72" s="179"/>
      <c r="B72" s="179"/>
      <c r="C72" s="180" t="s">
        <v>121</v>
      </c>
      <c r="D72" s="181"/>
      <c r="E72" s="181"/>
      <c r="F72" s="181"/>
      <c r="G72" s="16">
        <f t="shared" si="45"/>
        <v>0</v>
      </c>
      <c r="H72" s="182"/>
      <c r="I72" s="182"/>
      <c r="J72" s="182"/>
      <c r="K72" s="181">
        <f t="shared" si="41"/>
        <v>0</v>
      </c>
      <c r="L72" s="181">
        <f t="shared" si="42"/>
        <v>0</v>
      </c>
      <c r="M72" s="181">
        <f t="shared" si="43"/>
        <v>0</v>
      </c>
      <c r="N72" s="181">
        <f t="shared" si="44"/>
        <v>0</v>
      </c>
      <c r="O72" s="183"/>
    </row>
    <row r="73" spans="1:15" s="27" customFormat="1" x14ac:dyDescent="0.55000000000000004">
      <c r="A73" s="179"/>
      <c r="B73" s="179"/>
      <c r="C73" s="180" t="s">
        <v>121</v>
      </c>
      <c r="D73" s="181"/>
      <c r="E73" s="181"/>
      <c r="F73" s="181"/>
      <c r="G73" s="16">
        <f t="shared" si="45"/>
        <v>0</v>
      </c>
      <c r="H73" s="182"/>
      <c r="I73" s="182"/>
      <c r="J73" s="182"/>
      <c r="K73" s="181">
        <f t="shared" si="41"/>
        <v>0</v>
      </c>
      <c r="L73" s="181">
        <f t="shared" si="42"/>
        <v>0</v>
      </c>
      <c r="M73" s="181">
        <f t="shared" si="43"/>
        <v>0</v>
      </c>
      <c r="N73" s="181">
        <f t="shared" si="44"/>
        <v>0</v>
      </c>
      <c r="O73" s="183"/>
    </row>
    <row r="74" spans="1:15" s="27" customFormat="1" ht="28.8" x14ac:dyDescent="0.55000000000000004">
      <c r="A74" s="174"/>
      <c r="B74" s="175" t="s">
        <v>123</v>
      </c>
      <c r="C74" s="175" t="s">
        <v>124</v>
      </c>
      <c r="D74" s="176"/>
      <c r="E74" s="176"/>
      <c r="F74" s="176"/>
      <c r="G74" s="176"/>
      <c r="H74" s="177"/>
      <c r="I74" s="177"/>
      <c r="J74" s="177"/>
      <c r="K74" s="178"/>
      <c r="L74" s="178"/>
      <c r="M74" s="178"/>
      <c r="N74" s="178"/>
      <c r="O74" s="183"/>
    </row>
    <row r="75" spans="1:15" s="27" customFormat="1" x14ac:dyDescent="0.55000000000000004">
      <c r="A75" s="179" t="s">
        <v>97</v>
      </c>
      <c r="B75" s="179" t="s">
        <v>125</v>
      </c>
      <c r="C75" s="180" t="s">
        <v>124</v>
      </c>
      <c r="D75" s="181"/>
      <c r="E75" s="181"/>
      <c r="F75" s="181"/>
      <c r="G75" s="16">
        <f>IFERROR(ROUND(($F75/$E75)-1,3),0)</f>
        <v>0</v>
      </c>
      <c r="H75" s="182"/>
      <c r="I75" s="182"/>
      <c r="J75" s="182"/>
      <c r="K75" s="181">
        <f t="shared" ref="K75:K79" si="46">IFERROR(ROUND((($D75*$H75)+($D75*$I75*0.8)+($D75*$J75*0.9)),2),0)</f>
        <v>0</v>
      </c>
      <c r="L75" s="181">
        <f t="shared" ref="L75:L79" si="47">IFERROR(ROUND((($E75*$H75)+($E75*$I75*0.8)+($E75*$J75*0.9)),2),0)</f>
        <v>0</v>
      </c>
      <c r="M75" s="181">
        <f t="shared" ref="M75:M79" si="48">IFERROR(ROUND((($F75*$H75)+($F75*$I75*0.8)+($F75*$J75*0.9)),2),0)</f>
        <v>0</v>
      </c>
      <c r="N75" s="181">
        <f t="shared" ref="N75:N79" si="49">IFERROR(ROUND($M75-$L75,2),0)</f>
        <v>0</v>
      </c>
      <c r="O75" s="183"/>
    </row>
    <row r="76" spans="1:15" s="27" customFormat="1" x14ac:dyDescent="0.55000000000000004">
      <c r="A76" s="179"/>
      <c r="B76" s="179"/>
      <c r="C76" s="180" t="s">
        <v>124</v>
      </c>
      <c r="D76" s="181"/>
      <c r="E76" s="181"/>
      <c r="F76" s="181"/>
      <c r="G76" s="16">
        <f t="shared" ref="G76:G79" si="50">IFERROR(ROUND(($F76/$E76)-1,3),0)</f>
        <v>0</v>
      </c>
      <c r="H76" s="182"/>
      <c r="I76" s="182"/>
      <c r="J76" s="182"/>
      <c r="K76" s="181">
        <f t="shared" si="46"/>
        <v>0</v>
      </c>
      <c r="L76" s="181">
        <f t="shared" si="47"/>
        <v>0</v>
      </c>
      <c r="M76" s="181">
        <f t="shared" si="48"/>
        <v>0</v>
      </c>
      <c r="N76" s="181">
        <f t="shared" si="49"/>
        <v>0</v>
      </c>
      <c r="O76" s="183"/>
    </row>
    <row r="77" spans="1:15" s="27" customFormat="1" x14ac:dyDescent="0.55000000000000004">
      <c r="A77" s="179"/>
      <c r="B77" s="179"/>
      <c r="C77" s="180" t="s">
        <v>124</v>
      </c>
      <c r="D77" s="181"/>
      <c r="E77" s="181"/>
      <c r="F77" s="181"/>
      <c r="G77" s="16">
        <f t="shared" si="50"/>
        <v>0</v>
      </c>
      <c r="H77" s="182"/>
      <c r="I77" s="182"/>
      <c r="J77" s="182"/>
      <c r="K77" s="181">
        <f t="shared" si="46"/>
        <v>0</v>
      </c>
      <c r="L77" s="181">
        <f t="shared" si="47"/>
        <v>0</v>
      </c>
      <c r="M77" s="181">
        <f t="shared" si="48"/>
        <v>0</v>
      </c>
      <c r="N77" s="181">
        <f t="shared" si="49"/>
        <v>0</v>
      </c>
      <c r="O77" s="183"/>
    </row>
    <row r="78" spans="1:15" s="27" customFormat="1" x14ac:dyDescent="0.55000000000000004">
      <c r="A78" s="179"/>
      <c r="B78" s="179"/>
      <c r="C78" s="180" t="s">
        <v>124</v>
      </c>
      <c r="D78" s="181"/>
      <c r="E78" s="181"/>
      <c r="F78" s="181"/>
      <c r="G78" s="16">
        <f t="shared" si="50"/>
        <v>0</v>
      </c>
      <c r="H78" s="182"/>
      <c r="I78" s="182"/>
      <c r="J78" s="182"/>
      <c r="K78" s="181">
        <f t="shared" si="46"/>
        <v>0</v>
      </c>
      <c r="L78" s="181">
        <f t="shared" si="47"/>
        <v>0</v>
      </c>
      <c r="M78" s="181">
        <f t="shared" si="48"/>
        <v>0</v>
      </c>
      <c r="N78" s="181">
        <f t="shared" si="49"/>
        <v>0</v>
      </c>
      <c r="O78" s="183"/>
    </row>
    <row r="79" spans="1:15" s="27" customFormat="1" x14ac:dyDescent="0.55000000000000004">
      <c r="A79" s="179"/>
      <c r="B79" s="179"/>
      <c r="C79" s="180" t="s">
        <v>124</v>
      </c>
      <c r="D79" s="181"/>
      <c r="E79" s="181"/>
      <c r="F79" s="181"/>
      <c r="G79" s="16">
        <f t="shared" si="50"/>
        <v>0</v>
      </c>
      <c r="H79" s="182"/>
      <c r="I79" s="182"/>
      <c r="J79" s="182"/>
      <c r="K79" s="181">
        <f t="shared" si="46"/>
        <v>0</v>
      </c>
      <c r="L79" s="181">
        <f t="shared" si="47"/>
        <v>0</v>
      </c>
      <c r="M79" s="181">
        <f t="shared" si="48"/>
        <v>0</v>
      </c>
      <c r="N79" s="181">
        <f t="shared" si="49"/>
        <v>0</v>
      </c>
      <c r="O79" s="183"/>
    </row>
    <row r="80" spans="1:15" s="27" customFormat="1" x14ac:dyDescent="0.55000000000000004">
      <c r="A80" s="185"/>
      <c r="B80" s="173"/>
      <c r="C80" s="17"/>
      <c r="D80" s="3"/>
      <c r="E80" s="186"/>
      <c r="F80" s="186"/>
      <c r="G80" s="187"/>
      <c r="H80" s="187"/>
      <c r="I80" s="188"/>
      <c r="J80" s="188"/>
      <c r="K80" s="188"/>
      <c r="L80" s="5"/>
      <c r="M80" s="186"/>
      <c r="N80" s="186"/>
      <c r="O80" s="183"/>
    </row>
    <row r="81" spans="1:15" s="27" customFormat="1" x14ac:dyDescent="0.55000000000000004">
      <c r="A81" s="185"/>
      <c r="B81" s="173"/>
      <c r="C81" s="17"/>
      <c r="D81" s="3"/>
      <c r="E81" s="186"/>
      <c r="F81" s="186"/>
      <c r="G81" s="187"/>
      <c r="H81" s="187"/>
      <c r="I81" s="188"/>
      <c r="J81" s="188"/>
      <c r="K81" s="188"/>
      <c r="L81" s="5"/>
      <c r="M81" s="186"/>
      <c r="N81" s="186"/>
      <c r="O81" s="183"/>
    </row>
    <row r="82" spans="1:15" s="27" customFormat="1" x14ac:dyDescent="0.55000000000000004">
      <c r="A82" s="14"/>
      <c r="B82" s="173"/>
      <c r="C82" s="17"/>
      <c r="D82" s="3"/>
      <c r="E82" s="186"/>
      <c r="F82" s="186"/>
      <c r="G82" s="187"/>
      <c r="H82" s="187"/>
      <c r="I82" s="188"/>
      <c r="J82" s="188"/>
      <c r="K82" s="188"/>
      <c r="L82" s="5"/>
      <c r="M82" s="186"/>
      <c r="N82" s="186"/>
      <c r="O82" s="183"/>
    </row>
    <row r="83" spans="1:15" s="27" customFormat="1" x14ac:dyDescent="0.55000000000000004">
      <c r="A83" s="26"/>
      <c r="C83" s="17"/>
      <c r="D83" s="3"/>
      <c r="E83" s="3"/>
      <c r="F83" s="3"/>
      <c r="G83" s="3"/>
      <c r="H83" s="3"/>
      <c r="I83" s="4"/>
      <c r="J83" s="4"/>
      <c r="K83" s="4"/>
      <c r="L83" s="5"/>
      <c r="M83" s="14"/>
      <c r="N83" s="14"/>
      <c r="O83" s="183"/>
    </row>
    <row r="84" spans="1:15" s="27" customFormat="1" ht="18.3" x14ac:dyDescent="0.55000000000000004">
      <c r="A84" s="377" t="s">
        <v>126</v>
      </c>
      <c r="B84" s="378"/>
      <c r="C84" s="378"/>
      <c r="D84" s="378"/>
      <c r="E84" s="378"/>
      <c r="F84" s="378"/>
      <c r="G84" s="378"/>
      <c r="H84" s="378"/>
      <c r="I84" s="378"/>
      <c r="J84" s="378"/>
      <c r="K84" s="378"/>
      <c r="L84" s="379"/>
      <c r="M84" s="189"/>
      <c r="N84" s="189"/>
      <c r="O84" s="183"/>
    </row>
    <row r="85" spans="1:15" s="27" customFormat="1" ht="18.3" x14ac:dyDescent="0.55000000000000004">
      <c r="A85" s="380"/>
      <c r="B85" s="381"/>
      <c r="C85" s="381"/>
      <c r="D85" s="381"/>
      <c r="E85" s="381"/>
      <c r="F85" s="381"/>
      <c r="G85" s="381"/>
      <c r="H85" s="381"/>
      <c r="I85" s="381"/>
      <c r="J85" s="381"/>
      <c r="K85" s="381"/>
      <c r="L85" s="382"/>
      <c r="M85" s="189"/>
      <c r="N85" s="189"/>
      <c r="O85" s="183"/>
    </row>
    <row r="86" spans="1:15" s="27" customFormat="1" x14ac:dyDescent="0.55000000000000004">
      <c r="A86" s="167"/>
      <c r="B86" s="167"/>
      <c r="C86" s="167"/>
      <c r="D86" s="167"/>
      <c r="E86" s="167"/>
      <c r="F86" s="167"/>
      <c r="G86" s="167"/>
      <c r="H86" s="167"/>
      <c r="I86" s="167"/>
      <c r="J86" s="167"/>
      <c r="K86" s="167"/>
      <c r="L86" s="167"/>
      <c r="M86" s="167"/>
      <c r="N86" s="167"/>
      <c r="O86" s="183"/>
    </row>
    <row r="87" spans="1:15" s="27" customFormat="1" ht="15.6" x14ac:dyDescent="0.6">
      <c r="A87" s="14"/>
      <c r="B87" s="26"/>
      <c r="D87" s="17"/>
      <c r="E87" s="169"/>
      <c r="F87" s="169"/>
      <c r="G87" s="169"/>
      <c r="H87" s="169"/>
      <c r="I87" s="374" t="s">
        <v>127</v>
      </c>
      <c r="J87" s="375"/>
      <c r="K87" s="376"/>
      <c r="L87" s="14"/>
      <c r="M87" s="50"/>
      <c r="N87" s="14"/>
      <c r="O87" s="183"/>
    </row>
    <row r="88" spans="1:15" s="27" customFormat="1" ht="168.75" customHeight="1" x14ac:dyDescent="0.55000000000000004">
      <c r="A88" s="171" t="s">
        <v>86</v>
      </c>
      <c r="B88" s="171" t="s">
        <v>87</v>
      </c>
      <c r="C88" s="292" t="s">
        <v>88</v>
      </c>
      <c r="D88" s="172" t="str">
        <f>CONCATENATE("Rate at Last PCI Update",CHAR(10)," (",'Factor Dev'!$S$19,")")</f>
        <v>Rate at Last PCI Update
 (October 1, 2023)</v>
      </c>
      <c r="E88" s="172" t="str">
        <f>CONCATENATE("Current Rate",CHAR(10)," (",'Factor Dev'!$Z$19,")")</f>
        <v>Current Rate
 (July 1, 2024)</v>
      </c>
      <c r="F88" s="172" t="str">
        <f>CONCATENATE("Proposed Rate",CHAR(10)," (",'Factor Dev'!$AA$19,")")</f>
        <v>Proposed Rate
 (July 2, 2024)</v>
      </c>
      <c r="G88" s="172" t="s">
        <v>91</v>
      </c>
      <c r="H88" s="293" t="str">
        <f>CONCATENATE("Cumulative Demand Over Base Period",CHAR(10)," (Calendar Year ",DemandYear,")")</f>
        <v>Cumulative Demand Over Base Period
 (Calendar Year 2023)</v>
      </c>
      <c r="I88" s="172" t="str">
        <f>CONCATENATE("Rate at Last PCI Update",CHAR(10)," (",'Factor Dev'!$S$19,")")</f>
        <v>Rate at Last PCI Update
 (October 1, 2023)</v>
      </c>
      <c r="J88" s="172" t="str">
        <f>CONCATENATE("Current Rate",CHAR(10)," (",'Factor Dev'!$Z$19,")")</f>
        <v>Current Rate
 (July 1, 2024)</v>
      </c>
      <c r="K88" s="172" t="str">
        <f>CONCATENATE("Proposed Rate",CHAR(10)," (",'Factor Dev'!$AA$19,")")</f>
        <v>Proposed Rate
 (July 2, 2024)</v>
      </c>
      <c r="L88" s="172" t="s">
        <v>128</v>
      </c>
      <c r="M88" s="14"/>
      <c r="N88" s="14"/>
      <c r="O88" s="183"/>
    </row>
    <row r="89" spans="1:15" s="27" customFormat="1" x14ac:dyDescent="0.55000000000000004">
      <c r="A89" s="191"/>
      <c r="B89" s="192"/>
      <c r="C89" s="193" t="str">
        <f>"Col "&amp;COLUMN(C89)+71</f>
        <v>Col 74</v>
      </c>
      <c r="D89" s="193" t="str">
        <f t="shared" ref="D89:L89" si="51">"Col "&amp;COLUMN(D89)+71</f>
        <v>Col 75</v>
      </c>
      <c r="E89" s="193" t="str">
        <f t="shared" si="51"/>
        <v>Col 76</v>
      </c>
      <c r="F89" s="193" t="str">
        <f t="shared" si="51"/>
        <v>Col 77</v>
      </c>
      <c r="G89" s="193" t="str">
        <f t="shared" si="51"/>
        <v>Col 78</v>
      </c>
      <c r="H89" s="193" t="str">
        <f t="shared" si="51"/>
        <v>Col 79</v>
      </c>
      <c r="I89" s="193" t="str">
        <f t="shared" si="51"/>
        <v>Col 80</v>
      </c>
      <c r="J89" s="193" t="str">
        <f t="shared" si="51"/>
        <v>Col 81</v>
      </c>
      <c r="K89" s="193" t="str">
        <f t="shared" si="51"/>
        <v>Col 82</v>
      </c>
      <c r="L89" s="193" t="str">
        <f t="shared" si="51"/>
        <v>Col 83</v>
      </c>
      <c r="M89" s="14"/>
      <c r="N89" s="14"/>
      <c r="O89" s="183"/>
    </row>
    <row r="90" spans="1:15" s="27" customFormat="1" ht="38.25" customHeight="1" x14ac:dyDescent="0.55000000000000004">
      <c r="A90" s="171" t="s">
        <v>67</v>
      </c>
      <c r="B90" s="171" t="s">
        <v>67</v>
      </c>
      <c r="C90" s="15" t="s">
        <v>67</v>
      </c>
      <c r="D90" s="172" t="s">
        <v>67</v>
      </c>
      <c r="E90" s="172" t="s">
        <v>67</v>
      </c>
      <c r="F90" s="172" t="s">
        <v>67</v>
      </c>
      <c r="G90" s="172" t="str">
        <f>"("&amp;F89&amp;" / "&amp;D89&amp;") - 1"</f>
        <v>(Col 77 / Col 75) - 1</v>
      </c>
      <c r="H90" s="172" t="s">
        <v>67</v>
      </c>
      <c r="I90" s="194" t="str">
        <f>D89&amp;" x "&amp;H89</f>
        <v>Col 75 x Col 79</v>
      </c>
      <c r="J90" s="194" t="str">
        <f>E89&amp;" x "&amp;H89</f>
        <v>Col 76 x Col 79</v>
      </c>
      <c r="K90" s="194" t="str">
        <f>F89&amp;" x "&amp;H89</f>
        <v>Col 77 x Col 79</v>
      </c>
      <c r="L90" s="195" t="str">
        <f>K89&amp;" - "&amp;J89</f>
        <v>Col 82 - Col 81</v>
      </c>
    </row>
    <row r="91" spans="1:15" s="27" customFormat="1" x14ac:dyDescent="0.55000000000000004">
      <c r="A91" s="174"/>
      <c r="B91" s="175" t="s">
        <v>95</v>
      </c>
      <c r="C91" s="175" t="s">
        <v>96</v>
      </c>
      <c r="D91" s="176"/>
      <c r="E91" s="176"/>
      <c r="F91" s="176"/>
      <c r="G91" s="176"/>
      <c r="H91" s="177"/>
      <c r="I91" s="177"/>
      <c r="J91" s="177"/>
      <c r="K91" s="178"/>
      <c r="L91" s="178"/>
    </row>
    <row r="92" spans="1:15" s="27" customFormat="1" x14ac:dyDescent="0.55000000000000004">
      <c r="A92" s="179" t="s">
        <v>97</v>
      </c>
      <c r="B92" s="179" t="s">
        <v>129</v>
      </c>
      <c r="C92" s="180" t="s">
        <v>96</v>
      </c>
      <c r="D92" s="181"/>
      <c r="E92" s="181"/>
      <c r="F92" s="181"/>
      <c r="G92" s="202">
        <f>IFERROR(ROUND((F92/D92)-1,3),0)</f>
        <v>0</v>
      </c>
      <c r="H92" s="196"/>
      <c r="I92" s="197">
        <f>IFERROR(ROUND($D92*$H92,2),0)</f>
        <v>0</v>
      </c>
      <c r="J92" s="197">
        <f>IFERROR(ROUND($E92*$H92,2),0)</f>
        <v>0</v>
      </c>
      <c r="K92" s="197">
        <f>IFERROR(ROUND($F92*$H92,2),0)</f>
        <v>0</v>
      </c>
      <c r="L92" s="197">
        <f>IFERROR(ROUND(K92-J92,2),0)</f>
        <v>0</v>
      </c>
    </row>
    <row r="93" spans="1:15" s="27" customFormat="1" x14ac:dyDescent="0.55000000000000004">
      <c r="A93" s="179"/>
      <c r="B93" s="179"/>
      <c r="C93" s="180" t="s">
        <v>96</v>
      </c>
      <c r="D93" s="181"/>
      <c r="E93" s="181"/>
      <c r="F93" s="181"/>
      <c r="G93" s="202">
        <f>IFERROR(ROUND((F93/D93)-1,3),0)</f>
        <v>0</v>
      </c>
      <c r="H93" s="196"/>
      <c r="I93" s="197">
        <f>IFERROR(ROUND($D93*$H93,2),0)</f>
        <v>0</v>
      </c>
      <c r="J93" s="197">
        <f>IFERROR(ROUND($E93*$H93,2),0)</f>
        <v>0</v>
      </c>
      <c r="K93" s="197">
        <f>IFERROR(ROUND($F93*$H93,2),0)</f>
        <v>0</v>
      </c>
      <c r="L93" s="197">
        <f>IFERROR(ROUND(K93-J93,2),0)</f>
        <v>0</v>
      </c>
    </row>
    <row r="94" spans="1:15" s="27" customFormat="1" x14ac:dyDescent="0.55000000000000004">
      <c r="A94" s="179"/>
      <c r="B94" s="179"/>
      <c r="C94" s="180" t="s">
        <v>96</v>
      </c>
      <c r="D94" s="181"/>
      <c r="E94" s="181"/>
      <c r="F94" s="181"/>
      <c r="G94" s="202">
        <f t="shared" ref="G94:G96" si="52">IFERROR(ROUND((F94/D94)-1,3),0)</f>
        <v>0</v>
      </c>
      <c r="H94" s="196"/>
      <c r="I94" s="197">
        <f t="shared" ref="I94:I96" si="53">IFERROR(ROUND($D94*$H94,2),0)</f>
        <v>0</v>
      </c>
      <c r="J94" s="197">
        <f t="shared" ref="J94:J96" si="54">IFERROR(ROUND($E94*$H94,2),0)</f>
        <v>0</v>
      </c>
      <c r="K94" s="197">
        <f t="shared" ref="K94:K96" si="55">IFERROR(ROUND($F94*$H94,2),0)</f>
        <v>0</v>
      </c>
      <c r="L94" s="197">
        <f t="shared" ref="L94:L96" si="56">IFERROR(ROUND(K94-J94,2),0)</f>
        <v>0</v>
      </c>
    </row>
    <row r="95" spans="1:15" s="27" customFormat="1" x14ac:dyDescent="0.55000000000000004">
      <c r="A95" s="179"/>
      <c r="B95" s="179"/>
      <c r="C95" s="180" t="s">
        <v>96</v>
      </c>
      <c r="D95" s="181"/>
      <c r="E95" s="181"/>
      <c r="F95" s="181"/>
      <c r="G95" s="202">
        <f t="shared" si="52"/>
        <v>0</v>
      </c>
      <c r="H95" s="196"/>
      <c r="I95" s="197">
        <f t="shared" si="53"/>
        <v>0</v>
      </c>
      <c r="J95" s="197">
        <f t="shared" si="54"/>
        <v>0</v>
      </c>
      <c r="K95" s="197">
        <f t="shared" si="55"/>
        <v>0</v>
      </c>
      <c r="L95" s="197">
        <f t="shared" si="56"/>
        <v>0</v>
      </c>
    </row>
    <row r="96" spans="1:15" s="27" customFormat="1" x14ac:dyDescent="0.55000000000000004">
      <c r="A96" s="179"/>
      <c r="B96" s="179"/>
      <c r="C96" s="180" t="s">
        <v>96</v>
      </c>
      <c r="D96" s="181"/>
      <c r="E96" s="181"/>
      <c r="F96" s="181"/>
      <c r="G96" s="202">
        <f t="shared" si="52"/>
        <v>0</v>
      </c>
      <c r="H96" s="196"/>
      <c r="I96" s="197">
        <f t="shared" si="53"/>
        <v>0</v>
      </c>
      <c r="J96" s="197">
        <f t="shared" si="54"/>
        <v>0</v>
      </c>
      <c r="K96" s="197">
        <f t="shared" si="55"/>
        <v>0</v>
      </c>
      <c r="L96" s="197">
        <f t="shared" si="56"/>
        <v>0</v>
      </c>
    </row>
    <row r="97" spans="1:12" s="27" customFormat="1" x14ac:dyDescent="0.55000000000000004">
      <c r="A97" s="174"/>
      <c r="B97" s="175" t="s">
        <v>99</v>
      </c>
      <c r="C97" s="175" t="s">
        <v>100</v>
      </c>
      <c r="D97" s="176"/>
      <c r="E97" s="176"/>
      <c r="F97" s="176"/>
      <c r="G97" s="176"/>
      <c r="H97" s="177"/>
      <c r="I97" s="177"/>
      <c r="J97" s="177"/>
      <c r="K97" s="178"/>
      <c r="L97" s="178"/>
    </row>
    <row r="98" spans="1:12" s="27" customFormat="1" x14ac:dyDescent="0.55000000000000004">
      <c r="A98" s="179" t="s">
        <v>97</v>
      </c>
      <c r="B98" s="184" t="s">
        <v>130</v>
      </c>
      <c r="C98" s="180" t="s">
        <v>100</v>
      </c>
      <c r="D98" s="181"/>
      <c r="E98" s="181"/>
      <c r="F98" s="181"/>
      <c r="G98" s="202">
        <f>IFERROR(ROUND((F98/D98)-1,3),0)</f>
        <v>0</v>
      </c>
      <c r="H98" s="196"/>
      <c r="I98" s="197">
        <f>IFERROR(ROUND($D98*$H98,2),0)</f>
        <v>0</v>
      </c>
      <c r="J98" s="197">
        <f>IFERROR(ROUND($E98*$H98,2),0)</f>
        <v>0</v>
      </c>
      <c r="K98" s="197">
        <f>IFERROR(ROUND($F98*$H98,2),0)</f>
        <v>0</v>
      </c>
      <c r="L98" s="197">
        <f>IFERROR(ROUND(K98-J98,2),0)</f>
        <v>0</v>
      </c>
    </row>
    <row r="99" spans="1:12" s="27" customFormat="1" x14ac:dyDescent="0.55000000000000004">
      <c r="A99" s="179"/>
      <c r="B99" s="179"/>
      <c r="C99" s="180" t="s">
        <v>100</v>
      </c>
      <c r="D99" s="181"/>
      <c r="E99" s="181"/>
      <c r="F99" s="181"/>
      <c r="G99" s="202">
        <f>IFERROR(ROUND((F99/D99)-1,3),0)</f>
        <v>0</v>
      </c>
      <c r="H99" s="196"/>
      <c r="I99" s="197">
        <f>IFERROR(ROUND($D99*$H99,2),0)</f>
        <v>0</v>
      </c>
      <c r="J99" s="197">
        <f>IFERROR(ROUND($E99*$H99,2),0)</f>
        <v>0</v>
      </c>
      <c r="K99" s="197">
        <f>IFERROR(ROUND($F99*$H99,2),0)</f>
        <v>0</v>
      </c>
      <c r="L99" s="197">
        <f>IFERROR(ROUND(K99-J99,2),0)</f>
        <v>0</v>
      </c>
    </row>
    <row r="100" spans="1:12" s="27" customFormat="1" x14ac:dyDescent="0.55000000000000004">
      <c r="A100" s="179"/>
      <c r="B100" s="179"/>
      <c r="C100" s="180" t="s">
        <v>100</v>
      </c>
      <c r="D100" s="181"/>
      <c r="E100" s="181"/>
      <c r="F100" s="181"/>
      <c r="G100" s="202">
        <f t="shared" ref="G100:G102" si="57">IFERROR(ROUND((F100/D100)-1,3),0)</f>
        <v>0</v>
      </c>
      <c r="H100" s="196"/>
      <c r="I100" s="197">
        <f t="shared" ref="I100:I102" si="58">IFERROR(ROUND($D100*$H100,2),0)</f>
        <v>0</v>
      </c>
      <c r="J100" s="197">
        <f t="shared" ref="J100:J102" si="59">IFERROR(ROUND($E100*$H100,2),0)</f>
        <v>0</v>
      </c>
      <c r="K100" s="197">
        <f t="shared" ref="K100:K102" si="60">IFERROR(ROUND($F100*$H100,2),0)</f>
        <v>0</v>
      </c>
      <c r="L100" s="197">
        <f t="shared" ref="L100:L102" si="61">IFERROR(ROUND(K100-J100,2),0)</f>
        <v>0</v>
      </c>
    </row>
    <row r="101" spans="1:12" s="27" customFormat="1" x14ac:dyDescent="0.55000000000000004">
      <c r="A101" s="179"/>
      <c r="B101" s="179"/>
      <c r="C101" s="180" t="s">
        <v>100</v>
      </c>
      <c r="D101" s="181"/>
      <c r="E101" s="181"/>
      <c r="F101" s="181"/>
      <c r="G101" s="202">
        <f t="shared" si="57"/>
        <v>0</v>
      </c>
      <c r="H101" s="196"/>
      <c r="I101" s="197">
        <f t="shared" si="58"/>
        <v>0</v>
      </c>
      <c r="J101" s="197">
        <f t="shared" si="59"/>
        <v>0</v>
      </c>
      <c r="K101" s="197">
        <f t="shared" si="60"/>
        <v>0</v>
      </c>
      <c r="L101" s="197">
        <f t="shared" si="61"/>
        <v>0</v>
      </c>
    </row>
    <row r="102" spans="1:12" s="27" customFormat="1" x14ac:dyDescent="0.55000000000000004">
      <c r="A102" s="179"/>
      <c r="B102" s="179"/>
      <c r="C102" s="180" t="s">
        <v>100</v>
      </c>
      <c r="D102" s="181"/>
      <c r="E102" s="181"/>
      <c r="F102" s="181"/>
      <c r="G102" s="202">
        <f t="shared" si="57"/>
        <v>0</v>
      </c>
      <c r="H102" s="196"/>
      <c r="I102" s="197">
        <f t="shared" si="58"/>
        <v>0</v>
      </c>
      <c r="J102" s="197">
        <f t="shared" si="59"/>
        <v>0</v>
      </c>
      <c r="K102" s="197">
        <f t="shared" si="60"/>
        <v>0</v>
      </c>
      <c r="L102" s="197">
        <f t="shared" si="61"/>
        <v>0</v>
      </c>
    </row>
    <row r="103" spans="1:12" s="27" customFormat="1" x14ac:dyDescent="0.55000000000000004">
      <c r="A103" s="174"/>
      <c r="B103" s="175" t="s">
        <v>102</v>
      </c>
      <c r="C103" s="175" t="s">
        <v>103</v>
      </c>
      <c r="D103" s="176"/>
      <c r="E103" s="176"/>
      <c r="F103" s="176"/>
      <c r="G103" s="176"/>
      <c r="H103" s="177"/>
      <c r="I103" s="177"/>
      <c r="J103" s="177"/>
      <c r="K103" s="178"/>
      <c r="L103" s="178"/>
    </row>
    <row r="104" spans="1:12" s="27" customFormat="1" x14ac:dyDescent="0.55000000000000004">
      <c r="A104" s="179" t="s">
        <v>97</v>
      </c>
      <c r="B104" s="179" t="s">
        <v>131</v>
      </c>
      <c r="C104" s="180" t="s">
        <v>103</v>
      </c>
      <c r="D104" s="181"/>
      <c r="E104" s="181"/>
      <c r="F104" s="181"/>
      <c r="G104" s="202">
        <f t="shared" ref="G104" si="62">IFERROR(ROUND((F104/D104)-1,3),0)</f>
        <v>0</v>
      </c>
      <c r="H104" s="196"/>
      <c r="I104" s="197">
        <f t="shared" ref="I104" si="63">IFERROR(ROUND($D104*$H104,2),0)</f>
        <v>0</v>
      </c>
      <c r="J104" s="197">
        <f t="shared" ref="J104" si="64">IFERROR(ROUND($E104*$H104,2),0)</f>
        <v>0</v>
      </c>
      <c r="K104" s="197">
        <f t="shared" ref="K104" si="65">IFERROR(ROUND($F104*$H104,2),0)</f>
        <v>0</v>
      </c>
      <c r="L104" s="197">
        <f t="shared" ref="L104" si="66">IFERROR(ROUND(K104-J104,2),0)</f>
        <v>0</v>
      </c>
    </row>
    <row r="105" spans="1:12" s="27" customFormat="1" x14ac:dyDescent="0.55000000000000004">
      <c r="A105" s="179"/>
      <c r="B105" s="179"/>
      <c r="C105" s="180" t="s">
        <v>103</v>
      </c>
      <c r="D105" s="181"/>
      <c r="E105" s="181"/>
      <c r="F105" s="181"/>
      <c r="G105" s="202">
        <f>IFERROR(ROUND((F105/D105)-1,3),0)</f>
        <v>0</v>
      </c>
      <c r="H105" s="196"/>
      <c r="I105" s="197">
        <f>IFERROR(ROUND($D105*$H105,2),0)</f>
        <v>0</v>
      </c>
      <c r="J105" s="197">
        <f>IFERROR(ROUND($E105*$H105,2),0)</f>
        <v>0</v>
      </c>
      <c r="K105" s="197">
        <f>IFERROR(ROUND($F105*$H105,2),0)</f>
        <v>0</v>
      </c>
      <c r="L105" s="197">
        <f>IFERROR(ROUND(K105-J105,2),0)</f>
        <v>0</v>
      </c>
    </row>
    <row r="106" spans="1:12" s="27" customFormat="1" x14ac:dyDescent="0.55000000000000004">
      <c r="A106" s="179"/>
      <c r="B106" s="179"/>
      <c r="C106" s="180" t="s">
        <v>103</v>
      </c>
      <c r="D106" s="181"/>
      <c r="E106" s="181"/>
      <c r="F106" s="181"/>
      <c r="G106" s="202">
        <f t="shared" ref="G106:G108" si="67">IFERROR(ROUND((F106/D106)-1,3),0)</f>
        <v>0</v>
      </c>
      <c r="H106" s="196"/>
      <c r="I106" s="197">
        <f t="shared" ref="I106:I108" si="68">IFERROR(ROUND($D106*$H106,2),0)</f>
        <v>0</v>
      </c>
      <c r="J106" s="197">
        <f t="shared" ref="J106:J108" si="69">IFERROR(ROUND($E106*$H106,2),0)</f>
        <v>0</v>
      </c>
      <c r="K106" s="197">
        <f t="shared" ref="K106:K108" si="70">IFERROR(ROUND($F106*$H106,2),0)</f>
        <v>0</v>
      </c>
      <c r="L106" s="197">
        <f t="shared" ref="L106:L108" si="71">IFERROR(ROUND(K106-J106,2),0)</f>
        <v>0</v>
      </c>
    </row>
    <row r="107" spans="1:12" s="27" customFormat="1" x14ac:dyDescent="0.55000000000000004">
      <c r="A107" s="179"/>
      <c r="B107" s="179"/>
      <c r="C107" s="180" t="s">
        <v>103</v>
      </c>
      <c r="D107" s="181"/>
      <c r="E107" s="181"/>
      <c r="F107" s="181"/>
      <c r="G107" s="202">
        <f t="shared" si="67"/>
        <v>0</v>
      </c>
      <c r="H107" s="196"/>
      <c r="I107" s="197">
        <f t="shared" si="68"/>
        <v>0</v>
      </c>
      <c r="J107" s="197">
        <f t="shared" si="69"/>
        <v>0</v>
      </c>
      <c r="K107" s="197">
        <f t="shared" si="70"/>
        <v>0</v>
      </c>
      <c r="L107" s="197">
        <f t="shared" si="71"/>
        <v>0</v>
      </c>
    </row>
    <row r="108" spans="1:12" s="27" customFormat="1" x14ac:dyDescent="0.55000000000000004">
      <c r="A108" s="179"/>
      <c r="B108" s="179"/>
      <c r="C108" s="180" t="s">
        <v>103</v>
      </c>
      <c r="D108" s="181"/>
      <c r="E108" s="181"/>
      <c r="F108" s="181"/>
      <c r="G108" s="202">
        <f t="shared" si="67"/>
        <v>0</v>
      </c>
      <c r="H108" s="196"/>
      <c r="I108" s="197">
        <f t="shared" si="68"/>
        <v>0</v>
      </c>
      <c r="J108" s="197">
        <f t="shared" si="69"/>
        <v>0</v>
      </c>
      <c r="K108" s="197">
        <f t="shared" si="70"/>
        <v>0</v>
      </c>
      <c r="L108" s="197">
        <f t="shared" si="71"/>
        <v>0</v>
      </c>
    </row>
    <row r="109" spans="1:12" s="27" customFormat="1" x14ac:dyDescent="0.55000000000000004">
      <c r="A109" s="174"/>
      <c r="B109" s="175" t="s">
        <v>105</v>
      </c>
      <c r="C109" s="175" t="s">
        <v>106</v>
      </c>
      <c r="D109" s="176"/>
      <c r="E109" s="176"/>
      <c r="F109" s="176"/>
      <c r="G109" s="176"/>
      <c r="H109" s="177"/>
      <c r="I109" s="177"/>
      <c r="J109" s="177"/>
      <c r="K109" s="178"/>
      <c r="L109" s="178"/>
    </row>
    <row r="110" spans="1:12" x14ac:dyDescent="0.55000000000000004">
      <c r="A110" s="179" t="s">
        <v>97</v>
      </c>
      <c r="B110" s="179" t="s">
        <v>132</v>
      </c>
      <c r="C110" s="180" t="s">
        <v>106</v>
      </c>
      <c r="D110" s="181"/>
      <c r="E110" s="181"/>
      <c r="F110" s="181"/>
      <c r="G110" s="202">
        <f t="shared" ref="G110" si="72">IFERROR(ROUND((F110/D110)-1,3),0)</f>
        <v>0</v>
      </c>
      <c r="H110" s="196"/>
      <c r="I110" s="197">
        <f t="shared" ref="I110" si="73">IFERROR(ROUND($D110*$H110,2),0)</f>
        <v>0</v>
      </c>
      <c r="J110" s="197">
        <f t="shared" ref="J110" si="74">IFERROR(ROUND($E110*$H110,2),0)</f>
        <v>0</v>
      </c>
      <c r="K110" s="197">
        <f t="shared" ref="K110" si="75">IFERROR(ROUND($F110*$H110,2),0)</f>
        <v>0</v>
      </c>
      <c r="L110" s="197">
        <f t="shared" ref="L110" si="76">IFERROR(ROUND(K110-J110,2),0)</f>
        <v>0</v>
      </c>
    </row>
    <row r="111" spans="1:12" s="27" customFormat="1" x14ac:dyDescent="0.55000000000000004">
      <c r="A111" s="179"/>
      <c r="B111" s="179"/>
      <c r="C111" s="180" t="s">
        <v>106</v>
      </c>
      <c r="D111" s="181"/>
      <c r="E111" s="181"/>
      <c r="F111" s="181"/>
      <c r="G111" s="202">
        <f>IFERROR(ROUND((F111/D111)-1,3),0)</f>
        <v>0</v>
      </c>
      <c r="H111" s="196"/>
      <c r="I111" s="197">
        <f>IFERROR(ROUND($D111*$H111,2),0)</f>
        <v>0</v>
      </c>
      <c r="J111" s="197">
        <f>IFERROR(ROUND($E111*$H111,2),0)</f>
        <v>0</v>
      </c>
      <c r="K111" s="197">
        <f>IFERROR(ROUND($F111*$H111,2),0)</f>
        <v>0</v>
      </c>
      <c r="L111" s="197">
        <f>IFERROR(ROUND(K111-J111,2),0)</f>
        <v>0</v>
      </c>
    </row>
    <row r="112" spans="1:12" s="27" customFormat="1" x14ac:dyDescent="0.55000000000000004">
      <c r="A112" s="179"/>
      <c r="B112" s="179"/>
      <c r="C112" s="180" t="s">
        <v>106</v>
      </c>
      <c r="D112" s="181"/>
      <c r="E112" s="181"/>
      <c r="F112" s="181"/>
      <c r="G112" s="202">
        <f t="shared" ref="G112:G114" si="77">IFERROR(ROUND((F112/D112)-1,3),0)</f>
        <v>0</v>
      </c>
      <c r="H112" s="196"/>
      <c r="I112" s="197">
        <f t="shared" ref="I112:I114" si="78">IFERROR(ROUND($D112*$H112,2),0)</f>
        <v>0</v>
      </c>
      <c r="J112" s="197">
        <f t="shared" ref="J112:J114" si="79">IFERROR(ROUND($E112*$H112,2),0)</f>
        <v>0</v>
      </c>
      <c r="K112" s="197">
        <f t="shared" ref="K112:K114" si="80">IFERROR(ROUND($F112*$H112,2),0)</f>
        <v>0</v>
      </c>
      <c r="L112" s="197">
        <f t="shared" ref="L112:L114" si="81">IFERROR(ROUND(K112-J112,2),0)</f>
        <v>0</v>
      </c>
    </row>
    <row r="113" spans="1:12" s="27" customFormat="1" x14ac:dyDescent="0.55000000000000004">
      <c r="A113" s="179"/>
      <c r="B113" s="179"/>
      <c r="C113" s="180" t="s">
        <v>106</v>
      </c>
      <c r="D113" s="181"/>
      <c r="E113" s="181"/>
      <c r="F113" s="181"/>
      <c r="G113" s="202">
        <f t="shared" si="77"/>
        <v>0</v>
      </c>
      <c r="H113" s="196"/>
      <c r="I113" s="197">
        <f t="shared" si="78"/>
        <v>0</v>
      </c>
      <c r="J113" s="197">
        <f t="shared" si="79"/>
        <v>0</v>
      </c>
      <c r="K113" s="197">
        <f t="shared" si="80"/>
        <v>0</v>
      </c>
      <c r="L113" s="197">
        <f t="shared" si="81"/>
        <v>0</v>
      </c>
    </row>
    <row r="114" spans="1:12" s="27" customFormat="1" x14ac:dyDescent="0.55000000000000004">
      <c r="A114" s="179"/>
      <c r="B114" s="179"/>
      <c r="C114" s="180" t="s">
        <v>106</v>
      </c>
      <c r="D114" s="181"/>
      <c r="E114" s="181"/>
      <c r="F114" s="181"/>
      <c r="G114" s="202">
        <f t="shared" si="77"/>
        <v>0</v>
      </c>
      <c r="H114" s="196"/>
      <c r="I114" s="197">
        <f t="shared" si="78"/>
        <v>0</v>
      </c>
      <c r="J114" s="197">
        <f t="shared" si="79"/>
        <v>0</v>
      </c>
      <c r="K114" s="197">
        <f t="shared" si="80"/>
        <v>0</v>
      </c>
      <c r="L114" s="197">
        <f t="shared" si="81"/>
        <v>0</v>
      </c>
    </row>
    <row r="115" spans="1:12" x14ac:dyDescent="0.55000000000000004">
      <c r="A115" s="174"/>
      <c r="B115" s="175" t="s">
        <v>108</v>
      </c>
      <c r="C115" s="175" t="s">
        <v>109</v>
      </c>
      <c r="D115" s="176"/>
      <c r="E115" s="176"/>
      <c r="F115" s="176"/>
      <c r="G115" s="176"/>
      <c r="H115" s="177"/>
      <c r="I115" s="177"/>
      <c r="J115" s="177"/>
      <c r="K115" s="178"/>
      <c r="L115" s="178"/>
    </row>
    <row r="116" spans="1:12" ht="14.5" customHeight="1" x14ac:dyDescent="0.55000000000000004">
      <c r="A116" s="179" t="s">
        <v>97</v>
      </c>
      <c r="B116" s="179" t="s">
        <v>110</v>
      </c>
      <c r="C116" s="180" t="s">
        <v>109</v>
      </c>
      <c r="D116" s="181"/>
      <c r="E116" s="181"/>
      <c r="F116" s="181"/>
      <c r="G116" s="202">
        <f t="shared" ref="G116" si="82">IFERROR(ROUND((F116/D116)-1,3),0)</f>
        <v>0</v>
      </c>
      <c r="H116" s="196"/>
      <c r="I116" s="197">
        <f t="shared" ref="I116" si="83">IFERROR(ROUND($D116*$H116,2),0)</f>
        <v>0</v>
      </c>
      <c r="J116" s="197">
        <f t="shared" ref="J116" si="84">IFERROR(ROUND($E116*$H116,2),0)</f>
        <v>0</v>
      </c>
      <c r="K116" s="197">
        <f t="shared" ref="K116" si="85">IFERROR(ROUND($F116*$H116,2),0)</f>
        <v>0</v>
      </c>
      <c r="L116" s="197">
        <f t="shared" ref="L116" si="86">IFERROR(ROUND(K116-J116,2),0)</f>
        <v>0</v>
      </c>
    </row>
    <row r="117" spans="1:12" s="27" customFormat="1" x14ac:dyDescent="0.55000000000000004">
      <c r="A117" s="179"/>
      <c r="B117" s="179"/>
      <c r="C117" s="180" t="s">
        <v>109</v>
      </c>
      <c r="D117" s="181"/>
      <c r="E117" s="181"/>
      <c r="F117" s="181"/>
      <c r="G117" s="202">
        <f>IFERROR(ROUND((F117/D117)-1,3),0)</f>
        <v>0</v>
      </c>
      <c r="H117" s="196"/>
      <c r="I117" s="197">
        <f>IFERROR(ROUND($D117*$H117,2),0)</f>
        <v>0</v>
      </c>
      <c r="J117" s="197">
        <f>IFERROR(ROUND($E117*$H117,2),0)</f>
        <v>0</v>
      </c>
      <c r="K117" s="197">
        <f>IFERROR(ROUND($F117*$H117,2),0)</f>
        <v>0</v>
      </c>
      <c r="L117" s="197">
        <f>IFERROR(ROUND(K117-J117,2),0)</f>
        <v>0</v>
      </c>
    </row>
    <row r="118" spans="1:12" s="27" customFormat="1" x14ac:dyDescent="0.55000000000000004">
      <c r="A118" s="179"/>
      <c r="B118" s="179"/>
      <c r="C118" s="180" t="s">
        <v>109</v>
      </c>
      <c r="D118" s="181"/>
      <c r="E118" s="181"/>
      <c r="F118" s="181"/>
      <c r="G118" s="202">
        <f t="shared" ref="G118:G120" si="87">IFERROR(ROUND((F118/D118)-1,3),0)</f>
        <v>0</v>
      </c>
      <c r="H118" s="196"/>
      <c r="I118" s="197">
        <f t="shared" ref="I118:I120" si="88">IFERROR(ROUND($D118*$H118,2),0)</f>
        <v>0</v>
      </c>
      <c r="J118" s="197">
        <f t="shared" ref="J118:J120" si="89">IFERROR(ROUND($E118*$H118,2),0)</f>
        <v>0</v>
      </c>
      <c r="K118" s="197">
        <f t="shared" ref="K118:K120" si="90">IFERROR(ROUND($F118*$H118,2),0)</f>
        <v>0</v>
      </c>
      <c r="L118" s="197">
        <f t="shared" ref="L118:L120" si="91">IFERROR(ROUND(K118-J118,2),0)</f>
        <v>0</v>
      </c>
    </row>
    <row r="119" spans="1:12" s="27" customFormat="1" x14ac:dyDescent="0.55000000000000004">
      <c r="A119" s="179"/>
      <c r="B119" s="179"/>
      <c r="C119" s="180" t="s">
        <v>109</v>
      </c>
      <c r="D119" s="181"/>
      <c r="E119" s="181"/>
      <c r="F119" s="181"/>
      <c r="G119" s="202">
        <f t="shared" si="87"/>
        <v>0</v>
      </c>
      <c r="H119" s="196"/>
      <c r="I119" s="197">
        <f t="shared" si="88"/>
        <v>0</v>
      </c>
      <c r="J119" s="197">
        <f t="shared" si="89"/>
        <v>0</v>
      </c>
      <c r="K119" s="197">
        <f t="shared" si="90"/>
        <v>0</v>
      </c>
      <c r="L119" s="197">
        <f t="shared" si="91"/>
        <v>0</v>
      </c>
    </row>
    <row r="120" spans="1:12" s="27" customFormat="1" x14ac:dyDescent="0.55000000000000004">
      <c r="A120" s="179"/>
      <c r="B120" s="179"/>
      <c r="C120" s="180" t="s">
        <v>109</v>
      </c>
      <c r="D120" s="181"/>
      <c r="E120" s="181"/>
      <c r="F120" s="181"/>
      <c r="G120" s="202">
        <f t="shared" si="87"/>
        <v>0</v>
      </c>
      <c r="H120" s="196"/>
      <c r="I120" s="197">
        <f t="shared" si="88"/>
        <v>0</v>
      </c>
      <c r="J120" s="197">
        <f t="shared" si="89"/>
        <v>0</v>
      </c>
      <c r="K120" s="197">
        <f t="shared" si="90"/>
        <v>0</v>
      </c>
      <c r="L120" s="197">
        <f t="shared" si="91"/>
        <v>0</v>
      </c>
    </row>
    <row r="121" spans="1:12" x14ac:dyDescent="0.55000000000000004">
      <c r="A121" s="174"/>
      <c r="B121" s="175" t="s">
        <v>111</v>
      </c>
      <c r="C121" s="175" t="s">
        <v>112</v>
      </c>
      <c r="D121" s="176"/>
      <c r="E121" s="176"/>
      <c r="F121" s="176"/>
      <c r="G121" s="176"/>
      <c r="H121" s="177"/>
      <c r="I121" s="177"/>
      <c r="J121" s="177"/>
      <c r="K121" s="178"/>
      <c r="L121" s="178"/>
    </row>
    <row r="122" spans="1:12" x14ac:dyDescent="0.55000000000000004">
      <c r="A122" s="179" t="s">
        <v>97</v>
      </c>
      <c r="B122" s="179" t="s">
        <v>113</v>
      </c>
      <c r="C122" s="180" t="s">
        <v>112</v>
      </c>
      <c r="D122" s="181"/>
      <c r="E122" s="181"/>
      <c r="F122" s="181"/>
      <c r="G122" s="202">
        <f t="shared" ref="G122" si="92">IFERROR(ROUND((F122/D122)-1,3),0)</f>
        <v>0</v>
      </c>
      <c r="H122" s="196"/>
      <c r="I122" s="197">
        <f t="shared" ref="I122" si="93">IFERROR(ROUND($D122*$H122,2),0)</f>
        <v>0</v>
      </c>
      <c r="J122" s="197">
        <f t="shared" ref="J122" si="94">IFERROR(ROUND($E122*$H122,2),0)</f>
        <v>0</v>
      </c>
      <c r="K122" s="197">
        <f t="shared" ref="K122" si="95">IFERROR(ROUND($F122*$H122,2),0)</f>
        <v>0</v>
      </c>
      <c r="L122" s="197">
        <f t="shared" ref="L122" si="96">IFERROR(ROUND(K122-J122,2),0)</f>
        <v>0</v>
      </c>
    </row>
    <row r="123" spans="1:12" s="27" customFormat="1" x14ac:dyDescent="0.55000000000000004">
      <c r="A123" s="179"/>
      <c r="B123" s="179"/>
      <c r="C123" s="180" t="s">
        <v>134</v>
      </c>
      <c r="D123" s="181"/>
      <c r="E123" s="181"/>
      <c r="F123" s="181"/>
      <c r="G123" s="202">
        <f>IFERROR(ROUND((F123/D123)-1,3),0)</f>
        <v>0</v>
      </c>
      <c r="H123" s="196"/>
      <c r="I123" s="197">
        <f>IFERROR(ROUND($D123*$H123,2),0)</f>
        <v>0</v>
      </c>
      <c r="J123" s="197">
        <f>IFERROR(ROUND($E123*$H123,2),0)</f>
        <v>0</v>
      </c>
      <c r="K123" s="197">
        <f>IFERROR(ROUND($F123*$H123,2),0)</f>
        <v>0</v>
      </c>
      <c r="L123" s="197">
        <f>IFERROR(ROUND(K123-J123,2),0)</f>
        <v>0</v>
      </c>
    </row>
    <row r="124" spans="1:12" s="27" customFormat="1" x14ac:dyDescent="0.55000000000000004">
      <c r="A124" s="179"/>
      <c r="B124" s="179"/>
      <c r="C124" s="180" t="s">
        <v>115</v>
      </c>
      <c r="D124" s="181"/>
      <c r="E124" s="181"/>
      <c r="F124" s="181"/>
      <c r="G124" s="202">
        <f t="shared" ref="G124:G126" si="97">IFERROR(ROUND((F124/D124)-1,3),0)</f>
        <v>0</v>
      </c>
      <c r="H124" s="196"/>
      <c r="I124" s="197">
        <f t="shared" ref="I124:I126" si="98">IFERROR(ROUND($D124*$H124,2),0)</f>
        <v>0</v>
      </c>
      <c r="J124" s="197">
        <f t="shared" ref="J124:J126" si="99">IFERROR(ROUND($E124*$H124,2),0)</f>
        <v>0</v>
      </c>
      <c r="K124" s="197">
        <f t="shared" ref="K124:K126" si="100">IFERROR(ROUND($F124*$H124,2),0)</f>
        <v>0</v>
      </c>
      <c r="L124" s="197">
        <f t="shared" ref="L124:L126" si="101">IFERROR(ROUND(K124-J124,2),0)</f>
        <v>0</v>
      </c>
    </row>
    <row r="125" spans="1:12" s="27" customFormat="1" x14ac:dyDescent="0.55000000000000004">
      <c r="A125" s="179"/>
      <c r="B125" s="179"/>
      <c r="C125" s="180" t="s">
        <v>135</v>
      </c>
      <c r="D125" s="181"/>
      <c r="E125" s="181"/>
      <c r="F125" s="181"/>
      <c r="G125" s="202">
        <f t="shared" si="97"/>
        <v>0</v>
      </c>
      <c r="H125" s="196"/>
      <c r="I125" s="197">
        <f t="shared" si="98"/>
        <v>0</v>
      </c>
      <c r="J125" s="197">
        <f t="shared" si="99"/>
        <v>0</v>
      </c>
      <c r="K125" s="197">
        <f t="shared" si="100"/>
        <v>0</v>
      </c>
      <c r="L125" s="197">
        <f t="shared" si="101"/>
        <v>0</v>
      </c>
    </row>
    <row r="126" spans="1:12" s="27" customFormat="1" x14ac:dyDescent="0.55000000000000004">
      <c r="A126" s="179"/>
      <c r="B126" s="179"/>
      <c r="C126" s="180" t="s">
        <v>136</v>
      </c>
      <c r="D126" s="181"/>
      <c r="E126" s="181"/>
      <c r="F126" s="181"/>
      <c r="G126" s="202">
        <f t="shared" si="97"/>
        <v>0</v>
      </c>
      <c r="H126" s="196"/>
      <c r="I126" s="197">
        <f t="shared" si="98"/>
        <v>0</v>
      </c>
      <c r="J126" s="197">
        <f t="shared" si="99"/>
        <v>0</v>
      </c>
      <c r="K126" s="197">
        <f t="shared" si="100"/>
        <v>0</v>
      </c>
      <c r="L126" s="197">
        <f t="shared" si="101"/>
        <v>0</v>
      </c>
    </row>
    <row r="127" spans="1:12" x14ac:dyDescent="0.55000000000000004">
      <c r="A127" s="174"/>
      <c r="B127" s="175" t="s">
        <v>114</v>
      </c>
      <c r="C127" s="175" t="s">
        <v>115</v>
      </c>
      <c r="D127" s="176"/>
      <c r="E127" s="176"/>
      <c r="F127" s="176"/>
      <c r="G127" s="176"/>
      <c r="H127" s="177"/>
      <c r="I127" s="177"/>
      <c r="J127" s="177"/>
      <c r="K127" s="178"/>
      <c r="L127" s="178"/>
    </row>
    <row r="128" spans="1:12" s="27" customFormat="1" x14ac:dyDescent="0.55000000000000004">
      <c r="A128" s="179" t="s">
        <v>97</v>
      </c>
      <c r="B128" s="179" t="s">
        <v>116</v>
      </c>
      <c r="C128" s="180" t="s">
        <v>115</v>
      </c>
      <c r="D128" s="181"/>
      <c r="E128" s="181"/>
      <c r="F128" s="181"/>
      <c r="G128" s="202">
        <f t="shared" ref="G128" si="102">IFERROR(ROUND((F128/D128)-1,3),0)</f>
        <v>0</v>
      </c>
      <c r="H128" s="196"/>
      <c r="I128" s="197">
        <f t="shared" ref="I128" si="103">IFERROR(ROUND($D128*$H128,2),0)</f>
        <v>0</v>
      </c>
      <c r="J128" s="197">
        <f t="shared" ref="J128" si="104">IFERROR(ROUND($E128*$H128,2),0)</f>
        <v>0</v>
      </c>
      <c r="K128" s="197">
        <f t="shared" ref="K128" si="105">IFERROR(ROUND($F128*$H128,2),0)</f>
        <v>0</v>
      </c>
      <c r="L128" s="197">
        <f t="shared" ref="L128" si="106">IFERROR(ROUND(K128-J128,2),0)</f>
        <v>0</v>
      </c>
    </row>
    <row r="129" spans="1:12" s="27" customFormat="1" x14ac:dyDescent="0.55000000000000004">
      <c r="A129" s="179"/>
      <c r="B129" s="179"/>
      <c r="C129" s="180" t="s">
        <v>135</v>
      </c>
      <c r="D129" s="181"/>
      <c r="E129" s="181"/>
      <c r="F129" s="181"/>
      <c r="G129" s="202">
        <f>IFERROR(ROUND((F129/D129)-1,3),0)</f>
        <v>0</v>
      </c>
      <c r="H129" s="196"/>
      <c r="I129" s="197">
        <f>IFERROR(ROUND($D129*$H129,2),0)</f>
        <v>0</v>
      </c>
      <c r="J129" s="197">
        <f>IFERROR(ROUND($E129*$H129,2),0)</f>
        <v>0</v>
      </c>
      <c r="K129" s="197">
        <f>IFERROR(ROUND($F129*$H129,2),0)</f>
        <v>0</v>
      </c>
      <c r="L129" s="197">
        <f>IFERROR(ROUND(K129-J129,2),0)</f>
        <v>0</v>
      </c>
    </row>
    <row r="130" spans="1:12" s="27" customFormat="1" x14ac:dyDescent="0.55000000000000004">
      <c r="A130" s="179"/>
      <c r="B130" s="179"/>
      <c r="C130" s="180" t="s">
        <v>136</v>
      </c>
      <c r="D130" s="181"/>
      <c r="E130" s="181"/>
      <c r="F130" s="181"/>
      <c r="G130" s="202">
        <f t="shared" ref="G130:G132" si="107">IFERROR(ROUND((F130/D130)-1,3),0)</f>
        <v>0</v>
      </c>
      <c r="H130" s="196"/>
      <c r="I130" s="197">
        <f t="shared" ref="I130:I132" si="108">IFERROR(ROUND($D130*$H130,2),0)</f>
        <v>0</v>
      </c>
      <c r="J130" s="197">
        <f t="shared" ref="J130:J132" si="109">IFERROR(ROUND($E130*$H130,2),0)</f>
        <v>0</v>
      </c>
      <c r="K130" s="197">
        <f t="shared" ref="K130:K132" si="110">IFERROR(ROUND($F130*$H130,2),0)</f>
        <v>0</v>
      </c>
      <c r="L130" s="197">
        <f t="shared" ref="L130:L132" si="111">IFERROR(ROUND(K130-J130,2),0)</f>
        <v>0</v>
      </c>
    </row>
    <row r="131" spans="1:12" s="27" customFormat="1" x14ac:dyDescent="0.55000000000000004">
      <c r="A131" s="179"/>
      <c r="B131" s="179"/>
      <c r="C131" s="180" t="s">
        <v>137</v>
      </c>
      <c r="D131" s="181"/>
      <c r="E131" s="181"/>
      <c r="F131" s="181"/>
      <c r="G131" s="202">
        <f t="shared" si="107"/>
        <v>0</v>
      </c>
      <c r="H131" s="196"/>
      <c r="I131" s="197">
        <f t="shared" si="108"/>
        <v>0</v>
      </c>
      <c r="J131" s="197">
        <f t="shared" si="109"/>
        <v>0</v>
      </c>
      <c r="K131" s="197">
        <f t="shared" si="110"/>
        <v>0</v>
      </c>
      <c r="L131" s="197">
        <f t="shared" si="111"/>
        <v>0</v>
      </c>
    </row>
    <row r="132" spans="1:12" s="27" customFormat="1" x14ac:dyDescent="0.55000000000000004">
      <c r="A132" s="179"/>
      <c r="B132" s="179"/>
      <c r="C132" s="180" t="s">
        <v>138</v>
      </c>
      <c r="D132" s="181"/>
      <c r="E132" s="181"/>
      <c r="F132" s="181"/>
      <c r="G132" s="202">
        <f t="shared" si="107"/>
        <v>0</v>
      </c>
      <c r="H132" s="196"/>
      <c r="I132" s="197">
        <f t="shared" si="108"/>
        <v>0</v>
      </c>
      <c r="J132" s="197">
        <f t="shared" si="109"/>
        <v>0</v>
      </c>
      <c r="K132" s="197">
        <f t="shared" si="110"/>
        <v>0</v>
      </c>
      <c r="L132" s="197">
        <f t="shared" si="111"/>
        <v>0</v>
      </c>
    </row>
    <row r="133" spans="1:12" x14ac:dyDescent="0.55000000000000004">
      <c r="A133" s="174"/>
      <c r="B133" s="175" t="s">
        <v>117</v>
      </c>
      <c r="C133" s="175" t="s">
        <v>118</v>
      </c>
      <c r="D133" s="176"/>
      <c r="E133" s="176"/>
      <c r="F133" s="176"/>
      <c r="G133" s="176"/>
      <c r="H133" s="177"/>
      <c r="I133" s="177"/>
      <c r="J133" s="177"/>
      <c r="K133" s="178"/>
      <c r="L133" s="178"/>
    </row>
    <row r="134" spans="1:12" x14ac:dyDescent="0.55000000000000004">
      <c r="A134" s="179" t="s">
        <v>97</v>
      </c>
      <c r="B134" s="179" t="s">
        <v>119</v>
      </c>
      <c r="C134" s="180" t="s">
        <v>118</v>
      </c>
      <c r="D134" s="181"/>
      <c r="E134" s="181"/>
      <c r="F134" s="181"/>
      <c r="G134" s="202">
        <f t="shared" ref="G134:G138" si="112">IFERROR(ROUND((F134/D134)-1,3),0)</f>
        <v>0</v>
      </c>
      <c r="H134" s="196"/>
      <c r="I134" s="197">
        <f t="shared" ref="I134:I138" si="113">IFERROR(ROUND($D134*$H134,2),0)</f>
        <v>0</v>
      </c>
      <c r="J134" s="197">
        <f t="shared" ref="J134:J138" si="114">IFERROR(ROUND($E134*$H134,2),0)</f>
        <v>0</v>
      </c>
      <c r="K134" s="197">
        <f t="shared" ref="K134:K138" si="115">IFERROR(ROUND($F134*$H134,2),0)</f>
        <v>0</v>
      </c>
      <c r="L134" s="197">
        <f t="shared" ref="L134:L138" si="116">IFERROR(ROUND(K134-J134,2),0)</f>
        <v>0</v>
      </c>
    </row>
    <row r="135" spans="1:12" s="27" customFormat="1" x14ac:dyDescent="0.55000000000000004">
      <c r="A135" s="179"/>
      <c r="B135" s="179"/>
      <c r="C135" s="180" t="s">
        <v>118</v>
      </c>
      <c r="D135" s="181"/>
      <c r="E135" s="181"/>
      <c r="F135" s="181"/>
      <c r="G135" s="202">
        <f t="shared" si="112"/>
        <v>0</v>
      </c>
      <c r="H135" s="196"/>
      <c r="I135" s="197">
        <f t="shared" si="113"/>
        <v>0</v>
      </c>
      <c r="J135" s="197">
        <f t="shared" si="114"/>
        <v>0</v>
      </c>
      <c r="K135" s="197">
        <f t="shared" si="115"/>
        <v>0</v>
      </c>
      <c r="L135" s="197">
        <f t="shared" si="116"/>
        <v>0</v>
      </c>
    </row>
    <row r="136" spans="1:12" x14ac:dyDescent="0.55000000000000004">
      <c r="A136" s="179"/>
      <c r="B136" s="179"/>
      <c r="C136" s="180" t="s">
        <v>118</v>
      </c>
      <c r="D136" s="181"/>
      <c r="E136" s="181"/>
      <c r="F136" s="181"/>
      <c r="G136" s="202">
        <f t="shared" si="112"/>
        <v>0</v>
      </c>
      <c r="H136" s="196"/>
      <c r="I136" s="197">
        <f t="shared" si="113"/>
        <v>0</v>
      </c>
      <c r="J136" s="197">
        <f t="shared" si="114"/>
        <v>0</v>
      </c>
      <c r="K136" s="197">
        <f t="shared" si="115"/>
        <v>0</v>
      </c>
      <c r="L136" s="197">
        <f t="shared" si="116"/>
        <v>0</v>
      </c>
    </row>
    <row r="137" spans="1:12" x14ac:dyDescent="0.55000000000000004">
      <c r="A137" s="179"/>
      <c r="B137" s="179"/>
      <c r="C137" s="180" t="s">
        <v>118</v>
      </c>
      <c r="D137" s="181"/>
      <c r="E137" s="181"/>
      <c r="F137" s="181"/>
      <c r="G137" s="202">
        <f t="shared" si="112"/>
        <v>0</v>
      </c>
      <c r="H137" s="196"/>
      <c r="I137" s="197">
        <f t="shared" si="113"/>
        <v>0</v>
      </c>
      <c r="J137" s="197">
        <f t="shared" si="114"/>
        <v>0</v>
      </c>
      <c r="K137" s="197">
        <f t="shared" si="115"/>
        <v>0</v>
      </c>
      <c r="L137" s="197">
        <f t="shared" si="116"/>
        <v>0</v>
      </c>
    </row>
    <row r="138" spans="1:12" x14ac:dyDescent="0.55000000000000004">
      <c r="A138" s="179"/>
      <c r="B138" s="179"/>
      <c r="C138" s="180" t="s">
        <v>118</v>
      </c>
      <c r="D138" s="181"/>
      <c r="E138" s="181"/>
      <c r="F138" s="181"/>
      <c r="G138" s="202">
        <f t="shared" si="112"/>
        <v>0</v>
      </c>
      <c r="H138" s="196"/>
      <c r="I138" s="197">
        <f t="shared" si="113"/>
        <v>0</v>
      </c>
      <c r="J138" s="197">
        <f t="shared" si="114"/>
        <v>0</v>
      </c>
      <c r="K138" s="197">
        <f t="shared" si="115"/>
        <v>0</v>
      </c>
      <c r="L138" s="197">
        <f t="shared" si="116"/>
        <v>0</v>
      </c>
    </row>
    <row r="139" spans="1:12" ht="28.8" x14ac:dyDescent="0.55000000000000004">
      <c r="A139" s="174"/>
      <c r="B139" s="175" t="s">
        <v>120</v>
      </c>
      <c r="C139" s="175" t="s">
        <v>121</v>
      </c>
      <c r="D139" s="176"/>
      <c r="E139" s="176"/>
      <c r="F139" s="176"/>
      <c r="G139" s="176"/>
      <c r="H139" s="177"/>
      <c r="I139" s="177"/>
      <c r="J139" s="177"/>
      <c r="K139" s="178"/>
      <c r="L139" s="178"/>
    </row>
    <row r="140" spans="1:12" x14ac:dyDescent="0.55000000000000004">
      <c r="A140" s="179" t="s">
        <v>97</v>
      </c>
      <c r="B140" s="184" t="s">
        <v>133</v>
      </c>
      <c r="C140" s="180" t="s">
        <v>121</v>
      </c>
      <c r="D140" s="181"/>
      <c r="E140" s="181"/>
      <c r="F140" s="181"/>
      <c r="G140" s="202">
        <f t="shared" ref="G140:G144" si="117">IFERROR(ROUND((F140/D140)-1,3),0)</f>
        <v>0</v>
      </c>
      <c r="H140" s="196"/>
      <c r="I140" s="197">
        <f t="shared" ref="I140:I144" si="118">IFERROR(ROUND($D140*$H140,2),0)</f>
        <v>0</v>
      </c>
      <c r="J140" s="197">
        <f t="shared" ref="J140:J144" si="119">IFERROR(ROUND($E140*$H140,2),0)</f>
        <v>0</v>
      </c>
      <c r="K140" s="197">
        <f t="shared" ref="K140:K144" si="120">IFERROR(ROUND($F140*$H140,2),0)</f>
        <v>0</v>
      </c>
      <c r="L140" s="197">
        <f t="shared" ref="L140:L144" si="121">IFERROR(ROUND(K140-J140,2),0)</f>
        <v>0</v>
      </c>
    </row>
    <row r="141" spans="1:12" s="27" customFormat="1" x14ac:dyDescent="0.55000000000000004">
      <c r="A141" s="179"/>
      <c r="B141" s="179"/>
      <c r="C141" s="180" t="s">
        <v>121</v>
      </c>
      <c r="D141" s="181"/>
      <c r="E141" s="181"/>
      <c r="F141" s="181"/>
      <c r="G141" s="202">
        <f t="shared" si="117"/>
        <v>0</v>
      </c>
      <c r="H141" s="196"/>
      <c r="I141" s="197">
        <f t="shared" si="118"/>
        <v>0</v>
      </c>
      <c r="J141" s="197">
        <f t="shared" si="119"/>
        <v>0</v>
      </c>
      <c r="K141" s="197">
        <f t="shared" si="120"/>
        <v>0</v>
      </c>
      <c r="L141" s="197">
        <f t="shared" si="121"/>
        <v>0</v>
      </c>
    </row>
    <row r="142" spans="1:12" x14ac:dyDescent="0.55000000000000004">
      <c r="A142" s="179"/>
      <c r="B142" s="179"/>
      <c r="C142" s="180" t="s">
        <v>121</v>
      </c>
      <c r="D142" s="181"/>
      <c r="E142" s="181"/>
      <c r="F142" s="181"/>
      <c r="G142" s="202">
        <f t="shared" si="117"/>
        <v>0</v>
      </c>
      <c r="H142" s="196"/>
      <c r="I142" s="197">
        <f t="shared" si="118"/>
        <v>0</v>
      </c>
      <c r="J142" s="197">
        <f t="shared" si="119"/>
        <v>0</v>
      </c>
      <c r="K142" s="197">
        <f t="shared" si="120"/>
        <v>0</v>
      </c>
      <c r="L142" s="197">
        <f t="shared" si="121"/>
        <v>0</v>
      </c>
    </row>
    <row r="143" spans="1:12" x14ac:dyDescent="0.55000000000000004">
      <c r="A143" s="179"/>
      <c r="B143" s="179"/>
      <c r="C143" s="180" t="s">
        <v>121</v>
      </c>
      <c r="D143" s="181"/>
      <c r="E143" s="181"/>
      <c r="F143" s="181"/>
      <c r="G143" s="202">
        <f t="shared" si="117"/>
        <v>0</v>
      </c>
      <c r="H143" s="196"/>
      <c r="I143" s="197">
        <f t="shared" si="118"/>
        <v>0</v>
      </c>
      <c r="J143" s="197">
        <f t="shared" si="119"/>
        <v>0</v>
      </c>
      <c r="K143" s="197">
        <f t="shared" si="120"/>
        <v>0</v>
      </c>
      <c r="L143" s="197">
        <f t="shared" si="121"/>
        <v>0</v>
      </c>
    </row>
    <row r="144" spans="1:12" x14ac:dyDescent="0.55000000000000004">
      <c r="A144" s="179"/>
      <c r="B144" s="179"/>
      <c r="C144" s="180" t="s">
        <v>121</v>
      </c>
      <c r="D144" s="181"/>
      <c r="E144" s="181"/>
      <c r="F144" s="181"/>
      <c r="G144" s="202">
        <f t="shared" si="117"/>
        <v>0</v>
      </c>
      <c r="H144" s="196"/>
      <c r="I144" s="197">
        <f t="shared" si="118"/>
        <v>0</v>
      </c>
      <c r="J144" s="197">
        <f t="shared" si="119"/>
        <v>0</v>
      </c>
      <c r="K144" s="197">
        <f t="shared" si="120"/>
        <v>0</v>
      </c>
      <c r="L144" s="197">
        <f t="shared" si="121"/>
        <v>0</v>
      </c>
    </row>
    <row r="145" spans="1:15" ht="28.8" x14ac:dyDescent="0.55000000000000004">
      <c r="A145" s="174"/>
      <c r="B145" s="175" t="s">
        <v>123</v>
      </c>
      <c r="C145" s="175" t="s">
        <v>124</v>
      </c>
      <c r="D145" s="176"/>
      <c r="E145" s="176"/>
      <c r="F145" s="176"/>
      <c r="G145" s="176"/>
      <c r="H145" s="177"/>
      <c r="I145" s="177"/>
      <c r="J145" s="177"/>
      <c r="K145" s="178"/>
      <c r="L145" s="178"/>
    </row>
    <row r="146" spans="1:15" x14ac:dyDescent="0.55000000000000004">
      <c r="A146" s="179" t="s">
        <v>97</v>
      </c>
      <c r="B146" s="179" t="s">
        <v>125</v>
      </c>
      <c r="C146" s="180" t="s">
        <v>124</v>
      </c>
      <c r="D146" s="181"/>
      <c r="E146" s="181"/>
      <c r="F146" s="181"/>
      <c r="G146" s="202">
        <f t="shared" ref="G146:G150" si="122">IFERROR(ROUND((F146/D146)-1,3),0)</f>
        <v>0</v>
      </c>
      <c r="H146" s="196"/>
      <c r="I146" s="197">
        <f t="shared" ref="I146:I150" si="123">IFERROR(ROUND($D146*$H146,2),0)</f>
        <v>0</v>
      </c>
      <c r="J146" s="197">
        <f t="shared" ref="J146:J150" si="124">IFERROR(ROUND($E146*$H146,2),0)</f>
        <v>0</v>
      </c>
      <c r="K146" s="197">
        <f t="shared" ref="K146:K150" si="125">IFERROR(ROUND($F146*$H146,2),0)</f>
        <v>0</v>
      </c>
      <c r="L146" s="197">
        <f t="shared" ref="L146:L150" si="126">IFERROR(ROUND(K146-J146,2),0)</f>
        <v>0</v>
      </c>
    </row>
    <row r="147" spans="1:15" s="27" customFormat="1" x14ac:dyDescent="0.55000000000000004">
      <c r="A147" s="179"/>
      <c r="B147" s="179"/>
      <c r="C147" s="180" t="s">
        <v>124</v>
      </c>
      <c r="D147" s="181"/>
      <c r="E147" s="181"/>
      <c r="F147" s="181"/>
      <c r="G147" s="202">
        <f t="shared" si="122"/>
        <v>0</v>
      </c>
      <c r="H147" s="196"/>
      <c r="I147" s="197">
        <f>IFERROR(ROUND($D147*$H147,2),0)</f>
        <v>0</v>
      </c>
      <c r="J147" s="197">
        <f t="shared" si="124"/>
        <v>0</v>
      </c>
      <c r="K147" s="197">
        <f t="shared" si="125"/>
        <v>0</v>
      </c>
      <c r="L147" s="197">
        <f t="shared" si="126"/>
        <v>0</v>
      </c>
    </row>
    <row r="148" spans="1:15" x14ac:dyDescent="0.55000000000000004">
      <c r="A148" s="179"/>
      <c r="B148" s="179"/>
      <c r="C148" s="180" t="s">
        <v>124</v>
      </c>
      <c r="D148" s="181"/>
      <c r="E148" s="181"/>
      <c r="F148" s="181"/>
      <c r="G148" s="202">
        <f t="shared" si="122"/>
        <v>0</v>
      </c>
      <c r="H148" s="196"/>
      <c r="I148" s="197">
        <f t="shared" si="123"/>
        <v>0</v>
      </c>
      <c r="J148" s="197">
        <f t="shared" si="124"/>
        <v>0</v>
      </c>
      <c r="K148" s="197">
        <f t="shared" si="125"/>
        <v>0</v>
      </c>
      <c r="L148" s="197">
        <f t="shared" si="126"/>
        <v>0</v>
      </c>
      <c r="O148" s="183"/>
    </row>
    <row r="149" spans="1:15" x14ac:dyDescent="0.55000000000000004">
      <c r="A149" s="179"/>
      <c r="B149" s="179"/>
      <c r="C149" s="180" t="s">
        <v>124</v>
      </c>
      <c r="D149" s="181"/>
      <c r="E149" s="181"/>
      <c r="F149" s="181"/>
      <c r="G149" s="202">
        <f t="shared" si="122"/>
        <v>0</v>
      </c>
      <c r="H149" s="196"/>
      <c r="I149" s="197">
        <f t="shared" si="123"/>
        <v>0</v>
      </c>
      <c r="J149" s="197">
        <f t="shared" si="124"/>
        <v>0</v>
      </c>
      <c r="K149" s="197">
        <f t="shared" si="125"/>
        <v>0</v>
      </c>
      <c r="L149" s="197">
        <f t="shared" si="126"/>
        <v>0</v>
      </c>
      <c r="O149" s="183"/>
    </row>
    <row r="150" spans="1:15" x14ac:dyDescent="0.55000000000000004">
      <c r="A150" s="179"/>
      <c r="B150" s="179"/>
      <c r="C150" s="180" t="s">
        <v>124</v>
      </c>
      <c r="D150" s="181"/>
      <c r="E150" s="181"/>
      <c r="F150" s="181"/>
      <c r="G150" s="202">
        <f t="shared" si="122"/>
        <v>0</v>
      </c>
      <c r="H150" s="196"/>
      <c r="I150" s="197">
        <f t="shared" si="123"/>
        <v>0</v>
      </c>
      <c r="J150" s="197">
        <f t="shared" si="124"/>
        <v>0</v>
      </c>
      <c r="K150" s="197">
        <f t="shared" si="125"/>
        <v>0</v>
      </c>
      <c r="L150" s="197">
        <f t="shared" si="126"/>
        <v>0</v>
      </c>
      <c r="O150" s="183"/>
    </row>
    <row r="151" spans="1:15" s="27" customFormat="1" x14ac:dyDescent="0.55000000000000004">
      <c r="A151" s="26"/>
      <c r="C151" s="17"/>
      <c r="D151" s="3"/>
      <c r="E151" s="3"/>
      <c r="F151" s="3"/>
      <c r="G151" s="3"/>
      <c r="H151" s="3"/>
      <c r="I151" s="4"/>
      <c r="J151" s="4"/>
      <c r="K151" s="4"/>
      <c r="L151" s="5"/>
      <c r="M151" s="14"/>
      <c r="N151" s="14"/>
      <c r="O151" s="183"/>
    </row>
  </sheetData>
  <mergeCells count="11">
    <mergeCell ref="A10:B10"/>
    <mergeCell ref="A13:N14"/>
    <mergeCell ref="K16:M16"/>
    <mergeCell ref="A84:L85"/>
    <mergeCell ref="I87:K87"/>
    <mergeCell ref="A9:B9"/>
    <mergeCell ref="D1:E1"/>
    <mergeCell ref="A2:B2"/>
    <mergeCell ref="A6:B6"/>
    <mergeCell ref="A7:B7"/>
    <mergeCell ref="A8:B8"/>
  </mergeCells>
  <conditionalFormatting sqref="D11">
    <cfRule type="expression" dxfId="5" priority="1">
      <formula>$D11="Fail"</formula>
    </cfRule>
    <cfRule type="expression" dxfId="4" priority="2">
      <formula>$D11="Pass"</formula>
    </cfRule>
  </conditionalFormatting>
  <pageMargins left="0.25" right="0.25" top="0.75" bottom="0.75" header="0.3" footer="0.3"/>
  <pageSetup paperSize="5"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21"/>
  <sheetViews>
    <sheetView zoomScale="80" zoomScaleNormal="80" workbookViewId="0">
      <selection sqref="A1:B1"/>
    </sheetView>
  </sheetViews>
  <sheetFormatPr defaultColWidth="15.578125" defaultRowHeight="14.4" x14ac:dyDescent="0.55000000000000004"/>
  <cols>
    <col min="1" max="1" width="19.41796875" bestFit="1" customWidth="1"/>
    <col min="2" max="2" width="22.578125" bestFit="1" customWidth="1"/>
    <col min="3" max="3" width="43.83984375" customWidth="1"/>
    <col min="11" max="11" width="16.83984375" customWidth="1"/>
    <col min="25" max="25" width="1.578125" customWidth="1"/>
  </cols>
  <sheetData>
    <row r="1" spans="1:27" ht="20.399999999999999" x14ac:dyDescent="0.75">
      <c r="A1" s="366" t="str">
        <f ca="1">MID(CELL("filename",A1),FIND("]",CELL("filename",A1))+1,255)</f>
        <v>Factor Dev</v>
      </c>
      <c r="B1" s="366"/>
      <c r="E1" s="46"/>
      <c r="F1" s="46"/>
    </row>
    <row r="2" spans="1:27" x14ac:dyDescent="0.55000000000000004">
      <c r="A2" s="135" t="str">
        <f>'Exogenous Costs'!A2</f>
        <v xml:space="preserve">Filing Date:  </v>
      </c>
    </row>
    <row r="3" spans="1:27" x14ac:dyDescent="0.55000000000000004">
      <c r="A3" s="366" t="str">
        <f>'Exogenous Costs'!A3</f>
        <v xml:space="preserve">Filing Entity: </v>
      </c>
      <c r="B3" s="366"/>
    </row>
    <row r="4" spans="1:27" x14ac:dyDescent="0.55000000000000004">
      <c r="A4" s="135" t="str">
        <f>'Exogenous Costs'!A4</f>
        <v xml:space="preserve">Transmittal Number: </v>
      </c>
      <c r="D4" s="51"/>
      <c r="S4" s="51"/>
      <c r="T4" s="51"/>
      <c r="U4" s="51"/>
    </row>
    <row r="5" spans="1:27" x14ac:dyDescent="0.55000000000000004">
      <c r="A5" s="135"/>
    </row>
    <row r="6" spans="1:27" x14ac:dyDescent="0.55000000000000004">
      <c r="A6" s="298"/>
      <c r="B6" s="299"/>
      <c r="C6" s="384" t="s">
        <v>139</v>
      </c>
      <c r="D6" s="384"/>
      <c r="E6" s="283"/>
      <c r="S6" s="89"/>
    </row>
    <row r="7" spans="1:27" x14ac:dyDescent="0.55000000000000004">
      <c r="A7" s="300"/>
      <c r="B7" s="139"/>
      <c r="C7" s="301" t="s">
        <v>140</v>
      </c>
      <c r="D7" s="301"/>
      <c r="E7" s="284"/>
      <c r="F7" s="21"/>
      <c r="G7" s="21"/>
      <c r="H7" s="21"/>
    </row>
    <row r="8" spans="1:27" x14ac:dyDescent="0.55000000000000004">
      <c r="A8" s="302" t="s">
        <v>141</v>
      </c>
      <c r="B8" s="303">
        <v>120.11499999999999</v>
      </c>
      <c r="C8" s="301" t="s">
        <v>142</v>
      </c>
      <c r="D8" s="14"/>
      <c r="E8" s="285"/>
      <c r="F8" s="89"/>
      <c r="G8" s="89"/>
    </row>
    <row r="9" spans="1:27" x14ac:dyDescent="0.55000000000000004">
      <c r="A9" s="304" t="s">
        <v>143</v>
      </c>
      <c r="B9" s="305">
        <v>123.289</v>
      </c>
      <c r="C9" s="306"/>
      <c r="D9" s="307"/>
      <c r="E9" s="286"/>
      <c r="F9" s="89"/>
      <c r="G9" s="89"/>
    </row>
    <row r="10" spans="1:27" x14ac:dyDescent="0.55000000000000004">
      <c r="A10" s="278"/>
    </row>
    <row r="11" spans="1:27" x14ac:dyDescent="0.55000000000000004">
      <c r="A11" s="98"/>
      <c r="N11" s="88"/>
      <c r="P11" s="27"/>
    </row>
    <row r="12" spans="1:27" ht="14.7" thickBot="1" x14ac:dyDescent="0.6">
      <c r="B12" s="85"/>
      <c r="H12" s="9"/>
      <c r="I12" s="9"/>
      <c r="J12" s="139"/>
      <c r="M12" s="139"/>
      <c r="N12" s="139"/>
      <c r="O12" s="139"/>
      <c r="P12" s="140"/>
      <c r="Q12" s="9"/>
      <c r="R12" s="9"/>
    </row>
    <row r="13" spans="1:27" ht="148.15" customHeight="1" x14ac:dyDescent="0.55000000000000004">
      <c r="A13" s="18" t="s">
        <v>43</v>
      </c>
      <c r="B13" s="19" t="s">
        <v>44</v>
      </c>
      <c r="C13" s="87" t="s">
        <v>45</v>
      </c>
      <c r="D13" s="334" t="s">
        <v>46</v>
      </c>
      <c r="E13" s="18" t="str">
        <f>CONCATENATE("BDS Costs from Unfrozen ",DemandYear," Cost Study")</f>
        <v>BDS Costs from Unfrozen 2023 Cost Study</v>
      </c>
      <c r="F13" s="19" t="str">
        <f>CONCATENATE("BDS costs from Frozen ",DemandYear," Cost Study")</f>
        <v>BDS costs from Frozen 2023 Cost Study</v>
      </c>
      <c r="G13" s="35" t="s">
        <v>144</v>
      </c>
      <c r="H13" s="18" t="s">
        <v>145</v>
      </c>
      <c r="I13" s="37" t="s">
        <v>146</v>
      </c>
      <c r="J13" s="19" t="s">
        <v>147</v>
      </c>
      <c r="K13" s="35" t="s">
        <v>148</v>
      </c>
      <c r="L13" s="226" t="s">
        <v>149</v>
      </c>
      <c r="M13" s="19" t="s">
        <v>150</v>
      </c>
      <c r="N13" s="19" t="str">
        <f>CONCATENATE("Sum of Study Area(s) ",DemandYear," Annual Recurring and Non-Recurring Revenues at Adjusted Current Rate",CHAR(10),"(R)")</f>
        <v>Sum of Study Area(s) 2023 Annual Recurring and Non-Recurring Revenues at Adjusted Current Rate
(R)</v>
      </c>
      <c r="O13" s="19" t="s">
        <v>66</v>
      </c>
      <c r="P13" s="87" t="s">
        <v>151</v>
      </c>
      <c r="Q13" s="18" t="s">
        <v>152</v>
      </c>
      <c r="R13" s="19" t="s">
        <v>153</v>
      </c>
      <c r="S13" s="19" t="s">
        <v>154</v>
      </c>
      <c r="T13" s="19" t="s">
        <v>155</v>
      </c>
      <c r="U13" s="19" t="s">
        <v>156</v>
      </c>
      <c r="V13" s="19" t="s">
        <v>157</v>
      </c>
      <c r="W13" s="19" t="s">
        <v>158</v>
      </c>
      <c r="X13" s="35" t="s">
        <v>159</v>
      </c>
      <c r="Y13" s="317"/>
      <c r="Z13" s="18" t="s">
        <v>160</v>
      </c>
      <c r="AA13" s="35" t="s">
        <v>161</v>
      </c>
    </row>
    <row r="14" spans="1:27" x14ac:dyDescent="0.55000000000000004">
      <c r="A14" s="99"/>
      <c r="B14" s="100"/>
      <c r="C14" s="141"/>
      <c r="D14" s="335"/>
      <c r="E14" s="142" t="str">
        <f>"Col "&amp;COLUMN(E14)+28</f>
        <v>Col 33</v>
      </c>
      <c r="F14" s="15" t="str">
        <f t="shared" ref="F14:K14" si="0">"Col "&amp;COLUMN(F14)+28</f>
        <v>Col 34</v>
      </c>
      <c r="G14" s="144" t="str">
        <f t="shared" si="0"/>
        <v>Col 35</v>
      </c>
      <c r="H14" s="142" t="str">
        <f t="shared" si="0"/>
        <v>Col 36</v>
      </c>
      <c r="I14" s="15" t="str">
        <f t="shared" si="0"/>
        <v>Col 37</v>
      </c>
      <c r="J14" s="15" t="str">
        <f t="shared" si="0"/>
        <v>Col 38</v>
      </c>
      <c r="K14" s="144" t="str">
        <f t="shared" si="0"/>
        <v>Col 39</v>
      </c>
      <c r="L14" s="236" t="str">
        <f>"Col "&amp;COLUMN(L14)+28</f>
        <v>Col 40</v>
      </c>
      <c r="M14" s="15" t="str">
        <f t="shared" ref="M14:Q14" si="1">"Col "&amp;COLUMN(M14)+28</f>
        <v>Col 41</v>
      </c>
      <c r="N14" s="15" t="str">
        <f t="shared" si="1"/>
        <v>Col 42</v>
      </c>
      <c r="O14" s="15" t="str">
        <f t="shared" si="1"/>
        <v>Col 43</v>
      </c>
      <c r="P14" s="143" t="str">
        <f t="shared" si="1"/>
        <v>Col 44</v>
      </c>
      <c r="Q14" s="142" t="str">
        <f t="shared" si="1"/>
        <v>Col 45</v>
      </c>
      <c r="R14" s="15" t="str">
        <f t="shared" ref="R14:X14" si="2">"Col "&amp;COLUMN(R14)+28</f>
        <v>Col 46</v>
      </c>
      <c r="S14" s="15" t="str">
        <f t="shared" si="2"/>
        <v>Col 47</v>
      </c>
      <c r="T14" s="15" t="str">
        <f t="shared" si="2"/>
        <v>Col 48</v>
      </c>
      <c r="U14" s="15" t="str">
        <f t="shared" si="2"/>
        <v>Col 49</v>
      </c>
      <c r="V14" s="15" t="str">
        <f t="shared" si="2"/>
        <v>Col 50</v>
      </c>
      <c r="W14" s="15" t="str">
        <f t="shared" si="2"/>
        <v>Col 51</v>
      </c>
      <c r="X14" s="144" t="str">
        <f t="shared" si="2"/>
        <v>Col 52</v>
      </c>
      <c r="Y14" s="318"/>
      <c r="Z14" s="121" t="str">
        <f t="shared" ref="Z14:AA14" si="3">"Col "&amp;COLUMN(Z14)+28</f>
        <v>Col 54</v>
      </c>
      <c r="AA14" s="120" t="str">
        <f t="shared" si="3"/>
        <v>Col 55</v>
      </c>
    </row>
    <row r="15" spans="1:27" ht="183" customHeight="1" thickBot="1" x14ac:dyDescent="0.6">
      <c r="A15" s="67" t="s">
        <v>67</v>
      </c>
      <c r="B15" s="64" t="s">
        <v>67</v>
      </c>
      <c r="C15" s="102" t="s">
        <v>67</v>
      </c>
      <c r="D15" s="336" t="s">
        <v>67</v>
      </c>
      <c r="E15" s="104" t="s">
        <v>67</v>
      </c>
      <c r="F15" s="105" t="s">
        <v>67</v>
      </c>
      <c r="G15" s="65" t="str">
        <f>CONCATENATE("Carriers that did not unfreeze their category relationships enter 1.000000 in Col 35,",CHAR(10)," Else ",CHAR(10),E14,"/",F14,)</f>
        <v>Carriers that did not unfreeze their category relationships enter 1.000000 in Col 35,
 Else 
Col 33/Col 34</v>
      </c>
      <c r="H15" s="104" t="s">
        <v>67</v>
      </c>
      <c r="I15" s="105" t="s">
        <v>67</v>
      </c>
      <c r="J15" s="105" t="str">
        <f>CONCATENATE(I14," - ",H14)</f>
        <v>Col 37 - Col 36</v>
      </c>
      <c r="K15" s="65" t="str">
        <f>CONCATENATE("NECA pool members enter settlements and revenue data in Col 37 and Col 38. Other carriers enter 1.000000 in Col 39,",CHAR(10),"Else",CHAR(10),"1 - (",J14," / ",I14,") ")</f>
        <v xml:space="preserve">NECA pool members enter settlements and revenue data in Col 37 and Col 38. Other carriers enter 1.000000 in Col 39,
Else
1 - (Col 38 / Col 37) </v>
      </c>
      <c r="L15" s="236" t="s">
        <v>162</v>
      </c>
      <c r="M15" s="15" t="str">
        <f>"("&amp;A9&amp;" - "&amp;A8&amp;") / "&amp;A8</f>
        <v>(GDP-PI Q4 2023 - GDP-PI Q4 2022) / GDP-PI Q4 2022</v>
      </c>
      <c r="N15" s="15" t="s">
        <v>163</v>
      </c>
      <c r="O15" s="64" t="str">
        <f>'Exogenous Costs'!AJ18</f>
        <v>Col 32</v>
      </c>
      <c r="P15" s="145" t="str">
        <f>"("&amp;'Factor Dev'!N14&amp;" + "&amp;'Factor Dev'!O14&amp;") / "&amp;'Factor Dev'!N14</f>
        <v>(Col 42 + Col 43) / Col 42</v>
      </c>
      <c r="Q15" s="326" t="str">
        <f>CONCATENATE("100.000000",CHAR(10),"Study areas combining to form a new holding company TRP in ",FilingYear," should have a value of 100.000000)")</f>
        <v>100.000000
Study areas combining to form a new holding company TRP in 2024 should have a value of 100.000000)</v>
      </c>
      <c r="R15" s="327" t="str">
        <f>Q14&amp;" x (1 + "&amp;'Factor Dev'!P14&amp;" x ("&amp;M14&amp;" - "&amp;L14&amp;") + "&amp;'Factor Dev'!$O$14&amp;" / "&amp;'Factor Dev'!N14&amp;") "</f>
        <v xml:space="preserve">Col 45 x (1 + Col 44 x (Col 41 - Col 40) + Col 43 / Col 42) </v>
      </c>
      <c r="S15" s="328" t="str">
        <f>CONCATENATE("Input",CHAR(10),"(Select July 1, ",DemandYear," or October 1, ",DemandYear," from the drop down menu)")</f>
        <v>Input
(Select July 1, 2023 or October 1, 2023 from the drop down menu)</v>
      </c>
      <c r="T15" s="329" t="str">
        <f>CONCATENATE("Input",CHAR(10),"Sum of BDS Revenues (R) from BDS mid-course filing for study areas that previously filed (NA if last BDS filing was effective July 1, ",DemandYear,")")</f>
        <v>Input
Sum of BDS Revenues (R) from BDS mid-course filing for study areas that previously filed (NA if last BDS filing was effective July 1, 2023)</v>
      </c>
      <c r="U15" s="329" t="str">
        <f>CONCATENATE("Input",CHAR(10),"Enter simple average of proposed PCIs from BDS annual filing for study areas that previously filed  (NA if last BDS filing was effective July 1, ",DemandYear,")")</f>
        <v>Input
Enter simple average of proposed PCIs from BDS annual filing for study areas that previously filed  (NA if last BDS filing was effective July 1, 2023)</v>
      </c>
      <c r="V15" s="327" t="str">
        <f>CONCATENATE("Input",CHAR(10),"Sum of TRS gross up amounts  from BDS mid-course filing from  study areas that previously filed  (NA if last BDS filing was effective July 1, ",DemandYear,")")</f>
        <v>Input
Sum of TRS gross up amounts  from BDS mid-course filing from  study areas that previously filed  (NA if last BDS filing was effective July 1, 2023)</v>
      </c>
      <c r="W15" s="327" t="str">
        <f>CONCATENATE("1 - ((",U14," / ",Q14,") x (",V14," / ",T14,"))",CHAR(10)," (1.000 if last BDS filing was effective July 1, ",DemandYear)</f>
        <v>1 - ((Col 49 / Col 45) x (Col 50 / Col 48))
 (1.000 if last BDS filing was effective July 1, 2023</v>
      </c>
      <c r="X15" s="330" t="str">
        <f>CONCATENATE(R14," x ",W14)</f>
        <v>Col 46 x Col 51</v>
      </c>
      <c r="Z15" s="70" t="s">
        <v>164</v>
      </c>
      <c r="AA15" s="81" t="s">
        <v>165</v>
      </c>
    </row>
    <row r="16" spans="1:27" x14ac:dyDescent="0.55000000000000004">
      <c r="A16" s="164" t="s">
        <v>69</v>
      </c>
      <c r="B16" s="165" t="s">
        <v>44</v>
      </c>
      <c r="C16" s="332" t="s">
        <v>166</v>
      </c>
      <c r="D16" s="216" t="s">
        <v>167</v>
      </c>
      <c r="E16" s="233"/>
      <c r="F16" s="232"/>
      <c r="G16" s="234">
        <f>IFERROR(E16/F16,1)</f>
        <v>1</v>
      </c>
      <c r="H16" s="233"/>
      <c r="I16" s="232"/>
      <c r="J16" s="232">
        <f>IFERROR(ROUND(I16-H16,2),"")</f>
        <v>0</v>
      </c>
      <c r="K16" s="234">
        <f>IFERROR(ROUND(1-(J16/I16),6),1)</f>
        <v>1</v>
      </c>
      <c r="L16" s="163"/>
      <c r="M16" s="160"/>
      <c r="N16" s="259"/>
      <c r="O16" s="161"/>
      <c r="P16" s="162"/>
      <c r="Q16" s="322"/>
      <c r="R16" s="323"/>
      <c r="S16" s="324"/>
      <c r="T16" s="324"/>
      <c r="U16" s="324"/>
      <c r="V16" s="324"/>
      <c r="W16" s="324"/>
      <c r="X16" s="325"/>
      <c r="Y16" s="206"/>
      <c r="Z16" s="207"/>
      <c r="AA16" s="207"/>
    </row>
    <row r="17" spans="1:27" x14ac:dyDescent="0.55000000000000004">
      <c r="A17" s="164" t="s">
        <v>69</v>
      </c>
      <c r="B17" s="165" t="s">
        <v>44</v>
      </c>
      <c r="C17" s="332" t="s">
        <v>168</v>
      </c>
      <c r="D17" s="216" t="s">
        <v>169</v>
      </c>
      <c r="E17" s="279"/>
      <c r="F17" s="280"/>
      <c r="G17" s="234">
        <v>1</v>
      </c>
      <c r="H17" s="279"/>
      <c r="I17" s="280"/>
      <c r="J17" s="232">
        <v>0</v>
      </c>
      <c r="K17" s="234">
        <v>1</v>
      </c>
      <c r="L17" s="163"/>
      <c r="M17" s="160"/>
      <c r="N17" s="259"/>
      <c r="O17" s="161"/>
      <c r="P17" s="162"/>
      <c r="Q17" s="159"/>
      <c r="R17" s="203"/>
      <c r="S17" s="205"/>
      <c r="T17" s="205"/>
      <c r="U17" s="205"/>
      <c r="V17" s="205"/>
      <c r="W17" s="205"/>
      <c r="X17" s="319"/>
      <c r="Y17" s="206"/>
      <c r="Z17" s="207"/>
      <c r="AA17" s="207"/>
    </row>
    <row r="18" spans="1:27" ht="14.7" thickBot="1" x14ac:dyDescent="0.6">
      <c r="A18" s="308" t="s">
        <v>69</v>
      </c>
      <c r="B18" s="309" t="s">
        <v>44</v>
      </c>
      <c r="C18" s="333" t="s">
        <v>170</v>
      </c>
      <c r="D18" s="337" t="s">
        <v>171</v>
      </c>
      <c r="E18" s="281"/>
      <c r="F18" s="282"/>
      <c r="G18" s="235">
        <v>1</v>
      </c>
      <c r="H18" s="310"/>
      <c r="I18" s="311"/>
      <c r="J18" s="312">
        <v>0</v>
      </c>
      <c r="K18" s="313">
        <v>1</v>
      </c>
      <c r="L18" s="163"/>
      <c r="M18" s="160"/>
      <c r="N18" s="259"/>
      <c r="O18" s="161"/>
      <c r="P18" s="162"/>
      <c r="Q18" s="159"/>
      <c r="R18" s="203"/>
      <c r="S18" s="205"/>
      <c r="T18" s="205"/>
      <c r="U18" s="205"/>
      <c r="V18" s="205"/>
      <c r="W18" s="205"/>
      <c r="X18" s="319"/>
      <c r="Y18" s="206"/>
      <c r="Z18" s="207"/>
      <c r="AA18" s="207"/>
    </row>
    <row r="19" spans="1:27" ht="14.7" thickBot="1" x14ac:dyDescent="0.6">
      <c r="A19" s="314" t="str">
        <f>'Exogenous Costs'!A23</f>
        <v>000000001</v>
      </c>
      <c r="B19" s="289" t="str">
        <f>'Exogenous Costs'!B23</f>
        <v>Example Holding Company</v>
      </c>
      <c r="C19" s="356" t="str">
        <f>"Total For "&amp;TEXT(B19, )</f>
        <v>Total For Example Holding Company</v>
      </c>
      <c r="D19" s="383"/>
      <c r="E19" s="315"/>
      <c r="F19" s="315"/>
      <c r="G19" s="315"/>
      <c r="H19" s="315"/>
      <c r="I19" s="315"/>
      <c r="J19" s="315"/>
      <c r="K19" s="316"/>
      <c r="L19" s="147">
        <v>0.02</v>
      </c>
      <c r="M19" s="148">
        <f t="shared" ref="M19" si="4">IFERROR(ROUND(($B$9-$B$8)/$B$8,6),"NA")</f>
        <v>2.6425000000000001E-2</v>
      </c>
      <c r="N19" s="260">
        <f>ROUND('Holding Co TRP'!$K$22,0)</f>
        <v>0</v>
      </c>
      <c r="O19" s="149">
        <f>'Exogenous Costs'!AJ23</f>
        <v>0</v>
      </c>
      <c r="P19" s="199">
        <f>IFERROR(ROUND(SUM(N19:O19)/N19,6),1)</f>
        <v>1</v>
      </c>
      <c r="Q19" s="200">
        <v>100</v>
      </c>
      <c r="R19" s="204">
        <f>IFERROR(IF(N19&lt;&gt;0,ROUND(Q19*(1+P19*(M19-L19)+(O19/N19)),6),Q19),"NA")</f>
        <v>100</v>
      </c>
      <c r="S19" s="320" t="s">
        <v>172</v>
      </c>
      <c r="T19" s="208"/>
      <c r="U19" s="209"/>
      <c r="V19" s="210"/>
      <c r="W19" s="277">
        <f>IFERROR(IF($S$19="July 1, 2023",1,ROUND(1-((U19/Q19)*(V19/T19)),6)),1)</f>
        <v>1</v>
      </c>
      <c r="X19" s="321">
        <f>IFERROR(ROUND(R19*W19,4),0)</f>
        <v>100</v>
      </c>
      <c r="Y19" s="211"/>
      <c r="Z19" s="212" t="s">
        <v>173</v>
      </c>
      <c r="AA19" s="213" t="s">
        <v>174</v>
      </c>
    </row>
    <row r="20" spans="1:27" x14ac:dyDescent="0.55000000000000004">
      <c r="H20" s="83"/>
      <c r="Q20" s="86"/>
      <c r="R20" s="86"/>
    </row>
    <row r="21" spans="1:27" x14ac:dyDescent="0.55000000000000004">
      <c r="N21" s="198"/>
    </row>
  </sheetData>
  <sortState xmlns:xlrd2="http://schemas.microsoft.com/office/spreadsheetml/2017/richdata2" ref="C19:P19">
    <sortCondition ref="C19"/>
  </sortState>
  <mergeCells count="4">
    <mergeCell ref="A1:B1"/>
    <mergeCell ref="C19:D19"/>
    <mergeCell ref="A3:B3"/>
    <mergeCell ref="C6:D6"/>
  </mergeCells>
  <pageMargins left="0.25" right="0.25"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CBDBDD4-7709-40A0-98E5-1433547CD662}">
          <x14:formula1>
            <xm:f>'Date sheet'!$A$2:$A$3</xm:f>
          </x14:formula1>
          <xm:sqref>S19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R69"/>
  <sheetViews>
    <sheetView zoomScale="80" zoomScaleNormal="80" workbookViewId="0"/>
  </sheetViews>
  <sheetFormatPr defaultColWidth="9.15625" defaultRowHeight="14.4" x14ac:dyDescent="0.55000000000000004"/>
  <cols>
    <col min="1" max="1" width="9.15625" style="14"/>
    <col min="2" max="2" width="80" style="26" customWidth="1"/>
    <col min="3" max="3" width="25.68359375" style="27" customWidth="1"/>
    <col min="4" max="4" width="25" style="17" customWidth="1"/>
    <col min="5" max="5" width="21.578125" style="3" bestFit="1" customWidth="1"/>
    <col min="6" max="6" width="17.68359375" style="3" customWidth="1"/>
    <col min="7" max="7" width="20.41796875" style="3" customWidth="1"/>
    <col min="8" max="8" width="17.26171875" style="3" bestFit="1" customWidth="1"/>
    <col min="9" max="9" width="19.578125" style="3" bestFit="1" customWidth="1"/>
    <col min="10" max="10" width="20.41796875" style="4" customWidth="1"/>
    <col min="11" max="11" width="19.26171875" style="4" bestFit="1" customWidth="1"/>
    <col min="12" max="12" width="19.578125" style="4" bestFit="1" customWidth="1"/>
    <col min="13" max="13" width="20.41796875" style="5" customWidth="1"/>
    <col min="14" max="14" width="17.26171875" style="14" bestFit="1" customWidth="1"/>
    <col min="15" max="15" width="19.578125" style="14" bestFit="1" customWidth="1"/>
    <col min="16" max="16" width="18.26171875" style="14" customWidth="1"/>
    <col min="17" max="17" width="15.68359375" style="14" customWidth="1"/>
    <col min="18" max="16384" width="9.15625" style="14"/>
  </cols>
  <sheetData>
    <row r="1" spans="1:16" ht="20.399999999999999" x14ac:dyDescent="0.75">
      <c r="A1" s="135" t="str">
        <f>'Exogenous Costs'!A2</f>
        <v xml:space="preserve">Filing Date:  </v>
      </c>
      <c r="B1"/>
      <c r="C1" s="17"/>
      <c r="D1" s="365"/>
      <c r="E1" s="365"/>
      <c r="H1" s="44"/>
      <c r="I1" s="44"/>
      <c r="J1" s="44"/>
      <c r="K1" s="44"/>
      <c r="L1" s="44"/>
      <c r="M1" s="44"/>
      <c r="N1" s="44"/>
      <c r="O1" s="44"/>
      <c r="P1" s="43"/>
    </row>
    <row r="2" spans="1:16" x14ac:dyDescent="0.55000000000000004">
      <c r="A2" s="366" t="str">
        <f>'Exogenous Costs'!A3</f>
        <v xml:space="preserve">Filing Entity: </v>
      </c>
      <c r="B2" s="366"/>
      <c r="C2" s="17"/>
      <c r="D2" s="3"/>
      <c r="I2" s="4"/>
      <c r="L2" s="5"/>
      <c r="M2" s="14"/>
    </row>
    <row r="3" spans="1:16" x14ac:dyDescent="0.55000000000000004">
      <c r="A3" s="135" t="str">
        <f>'Exogenous Costs'!A4</f>
        <v xml:space="preserve">Transmittal Number: </v>
      </c>
      <c r="B3"/>
      <c r="C3" s="115"/>
      <c r="D3" s="3"/>
      <c r="I3" s="4"/>
      <c r="L3" s="5"/>
      <c r="M3" s="14"/>
    </row>
    <row r="4" spans="1:16" x14ac:dyDescent="0.55000000000000004">
      <c r="A4" s="364"/>
      <c r="B4" s="364"/>
      <c r="C4" s="115"/>
      <c r="D4" s="3"/>
      <c r="F4" s="6"/>
      <c r="G4" s="14"/>
      <c r="H4" s="14"/>
      <c r="I4" s="14"/>
      <c r="J4" s="14"/>
      <c r="K4" s="14"/>
      <c r="L4" s="14"/>
      <c r="M4" s="14"/>
    </row>
    <row r="5" spans="1:16" x14ac:dyDescent="0.55000000000000004">
      <c r="A5" s="50"/>
      <c r="B5" s="27"/>
      <c r="C5" s="21"/>
      <c r="D5" s="3"/>
      <c r="F5" s="6"/>
      <c r="G5" s="14"/>
      <c r="H5" s="14"/>
      <c r="I5" s="14"/>
      <c r="J5" s="14"/>
      <c r="K5" s="14"/>
      <c r="L5" s="14"/>
      <c r="M5" s="14"/>
    </row>
    <row r="6" spans="1:16" x14ac:dyDescent="0.55000000000000004">
      <c r="A6" s="364" t="s">
        <v>175</v>
      </c>
      <c r="B6" s="364"/>
      <c r="C6" s="401" t="str">
        <f>'Exogenous Costs'!A23</f>
        <v>000000001</v>
      </c>
      <c r="D6" s="401"/>
      <c r="E6" s="401"/>
      <c r="F6" s="6"/>
      <c r="G6" s="14"/>
      <c r="H6" s="14"/>
      <c r="I6" s="14"/>
      <c r="J6" s="14"/>
      <c r="K6" s="14"/>
      <c r="L6" s="14"/>
      <c r="M6" s="14"/>
    </row>
    <row r="7" spans="1:16" x14ac:dyDescent="0.55000000000000004">
      <c r="A7" s="364" t="s">
        <v>176</v>
      </c>
      <c r="B7" s="364"/>
      <c r="C7" s="401" t="str">
        <f>'Exogenous Costs'!B20</f>
        <v>Example Holding Company</v>
      </c>
      <c r="D7" s="401"/>
      <c r="E7" s="401"/>
      <c r="F7" s="401"/>
      <c r="G7" s="14"/>
      <c r="H7" s="14"/>
      <c r="I7" s="14"/>
      <c r="J7" s="14"/>
      <c r="K7" s="14"/>
      <c r="L7" s="14"/>
      <c r="M7" s="14"/>
    </row>
    <row r="8" spans="1:16" x14ac:dyDescent="0.55000000000000004">
      <c r="A8" s="364" t="s">
        <v>177</v>
      </c>
      <c r="B8" s="364"/>
      <c r="C8" s="402" t="s">
        <v>178</v>
      </c>
      <c r="D8" s="402"/>
      <c r="E8" s="402"/>
      <c r="F8" s="402"/>
      <c r="G8" s="14"/>
      <c r="H8" s="14"/>
      <c r="I8" s="14"/>
      <c r="J8" s="14"/>
      <c r="K8" s="14"/>
      <c r="L8" s="14"/>
      <c r="M8" s="14"/>
    </row>
    <row r="9" spans="1:16" x14ac:dyDescent="0.55000000000000004">
      <c r="A9" s="364" t="s">
        <v>179</v>
      </c>
      <c r="B9" s="364"/>
      <c r="C9" s="116">
        <f>'Factor Dev'!X19</f>
        <v>100</v>
      </c>
      <c r="D9" s="117"/>
      <c r="E9" s="118"/>
      <c r="F9" s="6"/>
      <c r="G9" s="14"/>
      <c r="H9" s="14"/>
      <c r="I9" s="14"/>
      <c r="J9" s="14"/>
      <c r="K9" s="14"/>
      <c r="L9" s="14"/>
      <c r="M9" s="14"/>
    </row>
    <row r="10" spans="1:16" x14ac:dyDescent="0.55000000000000004">
      <c r="A10" s="50" t="s">
        <v>180</v>
      </c>
      <c r="B10" s="14"/>
      <c r="C10" s="116">
        <f>'Factor Dev'!Q19</f>
        <v>100</v>
      </c>
      <c r="D10" s="21"/>
      <c r="E10" s="84"/>
      <c r="F10" s="84"/>
      <c r="G10" s="6"/>
      <c r="H10" s="14"/>
      <c r="I10" s="14"/>
      <c r="J10" s="14"/>
      <c r="K10" s="14"/>
      <c r="L10" s="14"/>
      <c r="M10" s="14"/>
    </row>
    <row r="11" spans="1:16" ht="15" customHeight="1" thickBot="1" x14ac:dyDescent="0.6">
      <c r="B11" s="114"/>
      <c r="D11" s="21"/>
      <c r="F11" s="403"/>
      <c r="G11" s="403"/>
      <c r="H11" s="403"/>
      <c r="I11" s="403"/>
      <c r="J11" s="403"/>
      <c r="K11" s="403"/>
      <c r="L11" s="13"/>
      <c r="N11" s="51"/>
      <c r="O11" s="51"/>
      <c r="P11" s="51"/>
    </row>
    <row r="12" spans="1:16" ht="14.7" thickBot="1" x14ac:dyDescent="0.6">
      <c r="A12" s="261"/>
      <c r="B12" s="404" t="str">
        <f>C7&amp;" Dashboard"</f>
        <v>Example Holding Company Dashboard</v>
      </c>
      <c r="C12" s="404"/>
      <c r="D12" s="404"/>
      <c r="E12" s="404"/>
      <c r="F12" s="405"/>
      <c r="G12" s="391" t="s">
        <v>181</v>
      </c>
      <c r="H12" s="392"/>
      <c r="I12" s="391" t="s">
        <v>182</v>
      </c>
      <c r="J12" s="392"/>
      <c r="K12" s="391" t="s">
        <v>183</v>
      </c>
      <c r="L12" s="392"/>
      <c r="M12" s="51"/>
      <c r="N12" s="51"/>
      <c r="O12" s="51"/>
    </row>
    <row r="13" spans="1:16" ht="106.15" customHeight="1" x14ac:dyDescent="0.55000000000000004">
      <c r="A13" s="240"/>
      <c r="B13" s="19" t="s">
        <v>184</v>
      </c>
      <c r="C13" s="331" t="str">
        <f>CONCATENATE("Jan. 1 ",FilingYear," Service Band Index (SBI for Service Bands) or Jan. 1 ",FilingYear," Actual Price Index (API for Total Basket)")</f>
        <v>Jan. 1 2024 Service Band Index (SBI for Service Bands) or Jan. 1 2024 Actual Price Index (API for Total Basket)</v>
      </c>
      <c r="D13" s="37" t="s">
        <v>185</v>
      </c>
      <c r="E13" s="19" t="s">
        <v>186</v>
      </c>
      <c r="F13" s="35" t="s">
        <v>187</v>
      </c>
      <c r="G13" s="142" t="s">
        <v>188</v>
      </c>
      <c r="H13" s="144" t="str">
        <f>CONCATENATE("At Proposed Rate",CHAR(10),TariffEffectiveDate)</f>
        <v>At Proposed Rate
July 2, 2024</v>
      </c>
      <c r="I13" s="142" t="s">
        <v>188</v>
      </c>
      <c r="J13" s="144" t="str">
        <f>CONCATENATE("At Proposed Rate",CHAR(10),TariffEffectiveDate)</f>
        <v>At Proposed Rate
July 2, 2024</v>
      </c>
      <c r="K13" s="142" t="s">
        <v>188</v>
      </c>
      <c r="L13" s="144" t="str">
        <f>CONCATENATE("At Proposed Rate",CHAR(10),TariffEffectiveDate)</f>
        <v>At Proposed Rate
July 2, 2024</v>
      </c>
      <c r="M13" s="14"/>
    </row>
    <row r="14" spans="1:16" x14ac:dyDescent="0.55000000000000004">
      <c r="A14" s="241"/>
      <c r="B14" s="237"/>
      <c r="C14" s="119" t="str">
        <f>"Col "&amp;COLUMN(C14)+68</f>
        <v>Col 71</v>
      </c>
      <c r="D14" s="119" t="str">
        <f t="shared" ref="D14:L14" si="0">"Col "&amp;COLUMN(D14)+68</f>
        <v>Col 72</v>
      </c>
      <c r="E14" s="119" t="str">
        <f t="shared" si="0"/>
        <v>Col 73</v>
      </c>
      <c r="F14" s="120" t="str">
        <f t="shared" si="0"/>
        <v>Col 74</v>
      </c>
      <c r="G14" s="121" t="str">
        <f t="shared" si="0"/>
        <v>Col 75</v>
      </c>
      <c r="H14" s="120" t="str">
        <f t="shared" si="0"/>
        <v>Col 76</v>
      </c>
      <c r="I14" s="121" t="str">
        <f t="shared" si="0"/>
        <v>Col 77</v>
      </c>
      <c r="J14" s="120" t="str">
        <f t="shared" si="0"/>
        <v>Col 78</v>
      </c>
      <c r="K14" s="121" t="str">
        <f t="shared" si="0"/>
        <v>Col 79</v>
      </c>
      <c r="L14" s="120" t="str">
        <f t="shared" si="0"/>
        <v>Col 80</v>
      </c>
      <c r="M14" s="14"/>
    </row>
    <row r="15" spans="1:16" ht="162" customHeight="1" x14ac:dyDescent="0.55000000000000004">
      <c r="A15" s="67" t="s">
        <v>189</v>
      </c>
      <c r="B15" s="237"/>
      <c r="C15" s="49" t="s">
        <v>190</v>
      </c>
      <c r="D15" s="15" t="str">
        <f>"("&amp;L14&amp;"  / "&amp;K14&amp;") x "&amp;C14</f>
        <v>(Col 80  / Col 79) x Col 71</v>
      </c>
      <c r="E15" s="49" t="str">
        <f>"("&amp;C14&amp;"  X Ratio of Proposed PCI to Current PCI X 1.05) or Study Area Proposed PCI"</f>
        <v>(Col 71  X Ratio of Proposed PCI to Current PCI X 1.05) or Study Area Proposed PCI</v>
      </c>
      <c r="F15" s="65" t="str">
        <f>D14&amp;" Must Be Less Than Or Equal To "&amp;E14&amp;" To Pass"</f>
        <v>Col 72 Must Be Less Than Or Equal To Col 73 To Pass</v>
      </c>
      <c r="G15" s="67" t="s">
        <v>191</v>
      </c>
      <c r="H15" s="65" t="s">
        <v>192</v>
      </c>
      <c r="I15" s="67" t="s">
        <v>193</v>
      </c>
      <c r="J15" s="65" t="s">
        <v>194</v>
      </c>
      <c r="K15" s="67" t="str">
        <f>"Sum ("&amp;G14&amp;" + "&amp;I14&amp;")"</f>
        <v>Sum (Col 75 + Col 77)</v>
      </c>
      <c r="L15" s="65" t="str">
        <f>"Sum("&amp;H14&amp;" + "&amp;J14&amp;")"</f>
        <v>Sum(Col 76 + Col 78)</v>
      </c>
      <c r="M15" s="14"/>
    </row>
    <row r="16" spans="1:16" x14ac:dyDescent="0.55000000000000004">
      <c r="A16" s="121">
        <v>1</v>
      </c>
      <c r="B16" s="238" t="s">
        <v>195</v>
      </c>
      <c r="C16" s="36">
        <v>100</v>
      </c>
      <c r="D16" s="36">
        <f t="shared" ref="D16:D22" si="1">IFERROR(ROUND((L16/K16)*C16,6),C16)</f>
        <v>100</v>
      </c>
      <c r="E16" s="36" t="str">
        <f t="shared" ref="E16:E21" si="2">IFERROR(IF(SUM(K16,L16)&lt;&gt;0,ROUND(C16*($C$9/$C$10)*1.05,6),"NA"),"NA")</f>
        <v>NA</v>
      </c>
      <c r="F16" s="123" t="str">
        <f t="shared" ref="F16" si="3">IF(D16&lt;=E16,"Pass","Fail")</f>
        <v>Pass</v>
      </c>
      <c r="G16" s="124">
        <f>ROUND(SUM(D31,D46,D61),2)</f>
        <v>0</v>
      </c>
      <c r="H16" s="126">
        <f t="shared" ref="G16:H22" si="4">ROUND(SUM(E31,E46,E61),2)</f>
        <v>0</v>
      </c>
      <c r="I16" s="124">
        <f t="shared" ref="I16:J22" si="5">ROUND(SUM(G31,G46,G61),2)</f>
        <v>0</v>
      </c>
      <c r="J16" s="126">
        <f t="shared" si="5"/>
        <v>0</v>
      </c>
      <c r="K16" s="124">
        <f>ROUND(SUM(G16,I16),2)</f>
        <v>0</v>
      </c>
      <c r="L16" s="126">
        <f>ROUND(SUM(H16,J16),2)</f>
        <v>0</v>
      </c>
      <c r="M16" s="14"/>
    </row>
    <row r="17" spans="1:18" x14ac:dyDescent="0.55000000000000004">
      <c r="A17" s="121">
        <v>2</v>
      </c>
      <c r="B17" s="238" t="s">
        <v>196</v>
      </c>
      <c r="C17" s="36">
        <v>100</v>
      </c>
      <c r="D17" s="36">
        <f t="shared" si="1"/>
        <v>100</v>
      </c>
      <c r="E17" s="36" t="str">
        <f t="shared" si="2"/>
        <v>NA</v>
      </c>
      <c r="F17" s="123" t="str">
        <f t="shared" ref="F17:F22" si="6">IF(D17&lt;=E17,"Pass","Fail")</f>
        <v>Pass</v>
      </c>
      <c r="G17" s="124">
        <f t="shared" si="4"/>
        <v>0</v>
      </c>
      <c r="H17" s="126">
        <f t="shared" si="4"/>
        <v>0</v>
      </c>
      <c r="I17" s="124">
        <f t="shared" si="5"/>
        <v>0</v>
      </c>
      <c r="J17" s="126">
        <f t="shared" si="5"/>
        <v>0</v>
      </c>
      <c r="K17" s="124">
        <f t="shared" ref="K17:K22" si="7">ROUND(SUM(G17,I17),2)</f>
        <v>0</v>
      </c>
      <c r="L17" s="126">
        <f t="shared" ref="L17:L22" si="8">ROUND(SUM(H17,J17),2)</f>
        <v>0</v>
      </c>
      <c r="M17" s="14"/>
    </row>
    <row r="18" spans="1:18" x14ac:dyDescent="0.55000000000000004">
      <c r="A18" s="121">
        <v>3</v>
      </c>
      <c r="B18" s="238" t="s">
        <v>197</v>
      </c>
      <c r="C18" s="36">
        <v>100</v>
      </c>
      <c r="D18" s="36">
        <f t="shared" si="1"/>
        <v>100</v>
      </c>
      <c r="E18" s="36" t="str">
        <f t="shared" si="2"/>
        <v>NA</v>
      </c>
      <c r="F18" s="123" t="str">
        <f t="shared" si="6"/>
        <v>Pass</v>
      </c>
      <c r="G18" s="124">
        <f t="shared" si="4"/>
        <v>0</v>
      </c>
      <c r="H18" s="126">
        <f t="shared" si="4"/>
        <v>0</v>
      </c>
      <c r="I18" s="124">
        <f t="shared" si="5"/>
        <v>0</v>
      </c>
      <c r="J18" s="126">
        <f t="shared" si="5"/>
        <v>0</v>
      </c>
      <c r="K18" s="124">
        <f t="shared" si="7"/>
        <v>0</v>
      </c>
      <c r="L18" s="126">
        <f t="shared" si="8"/>
        <v>0</v>
      </c>
      <c r="M18" s="14"/>
    </row>
    <row r="19" spans="1:18" x14ac:dyDescent="0.55000000000000004">
      <c r="A19" s="121">
        <v>4</v>
      </c>
      <c r="B19" s="238" t="s">
        <v>198</v>
      </c>
      <c r="C19" s="36">
        <v>100</v>
      </c>
      <c r="D19" s="36">
        <f t="shared" si="1"/>
        <v>100</v>
      </c>
      <c r="E19" s="36" t="str">
        <f t="shared" si="2"/>
        <v>NA</v>
      </c>
      <c r="F19" s="123" t="str">
        <f t="shared" si="6"/>
        <v>Pass</v>
      </c>
      <c r="G19" s="124">
        <f t="shared" si="4"/>
        <v>0</v>
      </c>
      <c r="H19" s="126">
        <f t="shared" si="4"/>
        <v>0</v>
      </c>
      <c r="I19" s="124">
        <f t="shared" si="5"/>
        <v>0</v>
      </c>
      <c r="J19" s="126">
        <f t="shared" si="5"/>
        <v>0</v>
      </c>
      <c r="K19" s="124">
        <f t="shared" si="7"/>
        <v>0</v>
      </c>
      <c r="L19" s="126">
        <f t="shared" si="8"/>
        <v>0</v>
      </c>
      <c r="M19" s="14"/>
    </row>
    <row r="20" spans="1:18" x14ac:dyDescent="0.55000000000000004">
      <c r="A20" s="121">
        <v>5</v>
      </c>
      <c r="B20" s="238" t="s">
        <v>199</v>
      </c>
      <c r="C20" s="36">
        <v>100</v>
      </c>
      <c r="D20" s="36">
        <f t="shared" si="1"/>
        <v>100</v>
      </c>
      <c r="E20" s="36" t="str">
        <f t="shared" si="2"/>
        <v>NA</v>
      </c>
      <c r="F20" s="123" t="str">
        <f t="shared" si="6"/>
        <v>Pass</v>
      </c>
      <c r="G20" s="124">
        <f t="shared" si="4"/>
        <v>0</v>
      </c>
      <c r="H20" s="126">
        <f t="shared" si="4"/>
        <v>0</v>
      </c>
      <c r="I20" s="124">
        <f t="shared" si="5"/>
        <v>0</v>
      </c>
      <c r="J20" s="126">
        <f t="shared" si="5"/>
        <v>0</v>
      </c>
      <c r="K20" s="124">
        <f t="shared" si="7"/>
        <v>0</v>
      </c>
      <c r="L20" s="126">
        <f t="shared" si="8"/>
        <v>0</v>
      </c>
      <c r="M20" s="14"/>
    </row>
    <row r="21" spans="1:18" x14ac:dyDescent="0.55000000000000004">
      <c r="A21" s="121">
        <v>6</v>
      </c>
      <c r="B21" s="239" t="s">
        <v>200</v>
      </c>
      <c r="C21" s="36">
        <v>100</v>
      </c>
      <c r="D21" s="36">
        <f t="shared" si="1"/>
        <v>100</v>
      </c>
      <c r="E21" s="36" t="str">
        <f t="shared" si="2"/>
        <v>NA</v>
      </c>
      <c r="F21" s="123" t="str">
        <f t="shared" si="6"/>
        <v>Pass</v>
      </c>
      <c r="G21" s="124">
        <f t="shared" si="4"/>
        <v>0</v>
      </c>
      <c r="H21" s="126">
        <f t="shared" si="4"/>
        <v>0</v>
      </c>
      <c r="I21" s="124">
        <f t="shared" si="5"/>
        <v>0</v>
      </c>
      <c r="J21" s="126">
        <f t="shared" si="5"/>
        <v>0</v>
      </c>
      <c r="K21" s="124">
        <f t="shared" si="7"/>
        <v>0</v>
      </c>
      <c r="L21" s="126">
        <f t="shared" si="8"/>
        <v>0</v>
      </c>
      <c r="M21" s="14"/>
    </row>
    <row r="22" spans="1:18" ht="14.7" thickBot="1" x14ac:dyDescent="0.6">
      <c r="A22" s="242"/>
      <c r="B22" s="146" t="s">
        <v>201</v>
      </c>
      <c r="C22" s="128">
        <v>100</v>
      </c>
      <c r="D22" s="129">
        <f t="shared" si="1"/>
        <v>100</v>
      </c>
      <c r="E22" s="129">
        <f>$C$9</f>
        <v>100</v>
      </c>
      <c r="F22" s="130" t="str">
        <f t="shared" si="6"/>
        <v>Pass</v>
      </c>
      <c r="G22" s="131">
        <f t="shared" si="4"/>
        <v>0</v>
      </c>
      <c r="H22" s="132">
        <f t="shared" si="4"/>
        <v>0</v>
      </c>
      <c r="I22" s="131">
        <f t="shared" si="5"/>
        <v>0</v>
      </c>
      <c r="J22" s="132">
        <f t="shared" si="5"/>
        <v>0</v>
      </c>
      <c r="K22" s="131">
        <f t="shared" si="7"/>
        <v>0</v>
      </c>
      <c r="L22" s="132">
        <f t="shared" si="8"/>
        <v>0</v>
      </c>
      <c r="M22" s="14"/>
    </row>
    <row r="23" spans="1:18" x14ac:dyDescent="0.55000000000000004">
      <c r="A23" s="50" t="s">
        <v>202</v>
      </c>
      <c r="B23" s="21"/>
      <c r="C23" s="22"/>
      <c r="D23" s="22"/>
      <c r="E23" s="22"/>
      <c r="F23" s="23"/>
      <c r="G23" s="24"/>
      <c r="H23" s="24"/>
      <c r="I23" s="24"/>
      <c r="J23" s="24"/>
      <c r="K23" s="12"/>
      <c r="L23" s="14"/>
      <c r="M23" s="14"/>
    </row>
    <row r="24" spans="1:18" x14ac:dyDescent="0.55000000000000004">
      <c r="B24" s="21"/>
      <c r="C24" s="22"/>
      <c r="D24" s="22"/>
      <c r="E24" s="22"/>
      <c r="F24" s="23"/>
      <c r="G24" s="24"/>
      <c r="H24" s="24"/>
      <c r="I24" s="24"/>
      <c r="J24" s="24"/>
      <c r="K24" s="12"/>
      <c r="L24" s="12"/>
      <c r="M24" s="14"/>
    </row>
    <row r="25" spans="1:18" ht="14.7" thickBot="1" x14ac:dyDescent="0.6">
      <c r="B25" s="114"/>
      <c r="D25" s="21"/>
      <c r="G25" s="6"/>
      <c r="H25" s="51"/>
      <c r="J25" s="13"/>
      <c r="K25" s="13"/>
      <c r="L25" s="13"/>
      <c r="N25" s="51"/>
      <c r="O25" s="51"/>
      <c r="P25" s="51"/>
    </row>
    <row r="26" spans="1:18" ht="14.7" thickBot="1" x14ac:dyDescent="0.6">
      <c r="A26" s="399"/>
      <c r="B26" s="393" t="str">
        <f>CONCATENATE('Study Area 1 Input (new)'!C6," - ",'Study Area 1 Input (new)'!C7)</f>
        <v>900001 - Example Study Area 1</v>
      </c>
      <c r="C26" s="394"/>
      <c r="D26" s="394"/>
      <c r="E26" s="394"/>
      <c r="F26" s="394"/>
      <c r="G26" s="394"/>
      <c r="H26" s="394"/>
      <c r="I26" s="394"/>
      <c r="J26" s="394"/>
      <c r="K26" s="395"/>
      <c r="L26" s="14"/>
      <c r="M26" s="14"/>
    </row>
    <row r="27" spans="1:18" ht="14.7" thickBot="1" x14ac:dyDescent="0.6">
      <c r="A27" s="400"/>
      <c r="B27" s="222"/>
      <c r="C27" s="258"/>
      <c r="D27" s="396" t="s">
        <v>181</v>
      </c>
      <c r="E27" s="397"/>
      <c r="F27" s="257"/>
      <c r="G27" s="398" t="s">
        <v>182</v>
      </c>
      <c r="H27" s="397"/>
      <c r="I27" s="257"/>
      <c r="J27" s="396" t="s">
        <v>183</v>
      </c>
      <c r="K27" s="397"/>
      <c r="L27" s="3"/>
      <c r="M27" s="14"/>
      <c r="N27" s="4"/>
      <c r="O27" s="4"/>
      <c r="P27" s="4"/>
      <c r="Q27" s="4"/>
      <c r="R27" s="5"/>
    </row>
    <row r="28" spans="1:18" ht="102" customHeight="1" x14ac:dyDescent="0.55000000000000004">
      <c r="A28" s="400"/>
      <c r="B28" s="102" t="s">
        <v>184</v>
      </c>
      <c r="C28" s="243"/>
      <c r="D28" s="18" t="str">
        <f>CONCATENATE("At ",'Study Area 1 Input (new)'!$E$17)</f>
        <v>At Adjusted January 2024 Tariffed Rate (Adjusted Current Rate)</v>
      </c>
      <c r="E28" s="35" t="str">
        <f>CONCATENATE("At ",'Study Area 1 Input (new)'!$F$17)</f>
        <v>At Proposed Rate
July 2, 2024</v>
      </c>
      <c r="F28" s="248"/>
      <c r="G28" s="18" t="str">
        <f>CONCATENATE("At ",'Study Area 1 Input (new)'!$E$17)</f>
        <v>At Adjusted January 2024 Tariffed Rate (Adjusted Current Rate)</v>
      </c>
      <c r="H28" s="35" t="str">
        <f>CONCATENATE("At ",'Study Area 1 Input (new)'!$F$17)</f>
        <v>At Proposed Rate
July 2, 2024</v>
      </c>
      <c r="I28" s="248"/>
      <c r="J28" s="18" t="str">
        <f>CONCATENATE("At ",'Study Area 1 Input (new)'!$E$17)</f>
        <v>At Adjusted January 2024 Tariffed Rate (Adjusted Current Rate)</v>
      </c>
      <c r="K28" s="35" t="str">
        <f>CONCATENATE("At ",'Study Area 1 Input (new)'!$F$17)</f>
        <v>At Proposed Rate
July 2, 2024</v>
      </c>
      <c r="M28" s="14"/>
    </row>
    <row r="29" spans="1:18" x14ac:dyDescent="0.55000000000000004">
      <c r="A29" s="400"/>
      <c r="B29" s="223"/>
      <c r="C29" s="244"/>
      <c r="D29" s="121" t="str">
        <f>"Col "&amp;COLUMN(D29)+81</f>
        <v>Col 85</v>
      </c>
      <c r="E29" s="120" t="str">
        <f t="shared" ref="E29:K29" si="9">"Col "&amp;COLUMN(E29)+81</f>
        <v>Col 86</v>
      </c>
      <c r="F29" s="249"/>
      <c r="G29" s="230" t="str">
        <f t="shared" si="9"/>
        <v>Col 88</v>
      </c>
      <c r="H29" s="120" t="str">
        <f t="shared" si="9"/>
        <v>Col 89</v>
      </c>
      <c r="I29" s="253"/>
      <c r="J29" s="119" t="str">
        <f t="shared" si="9"/>
        <v>Col 91</v>
      </c>
      <c r="K29" s="120" t="str">
        <f t="shared" si="9"/>
        <v>Col 92</v>
      </c>
      <c r="L29" s="14"/>
      <c r="M29" s="4"/>
    </row>
    <row r="30" spans="1:18" ht="118.15" customHeight="1" x14ac:dyDescent="0.55000000000000004">
      <c r="A30" s="66" t="s">
        <v>189</v>
      </c>
      <c r="B30" s="223"/>
      <c r="C30" s="244"/>
      <c r="D30" s="67" t="s">
        <v>203</v>
      </c>
      <c r="E30" s="65" t="s">
        <v>204</v>
      </c>
      <c r="F30" s="250"/>
      <c r="G30" s="63" t="s">
        <v>205</v>
      </c>
      <c r="H30" s="65" t="s">
        <v>206</v>
      </c>
      <c r="I30" s="254"/>
      <c r="J30" s="64" t="str">
        <f>CONCATENATE("Sum (",D29," + ",G29,")")</f>
        <v>Sum (Col 85 + Col 88)</v>
      </c>
      <c r="K30" s="65" t="str">
        <f>"Sum ("&amp;E29&amp;" + "&amp;H29&amp;")"</f>
        <v>Sum (Col 86 + Col 89)</v>
      </c>
      <c r="L30" s="14"/>
      <c r="M30" s="4"/>
    </row>
    <row r="31" spans="1:18" x14ac:dyDescent="0.55000000000000004">
      <c r="A31" s="122">
        <v>1</v>
      </c>
      <c r="B31" s="224" t="s">
        <v>195</v>
      </c>
      <c r="C31" s="245"/>
      <c r="D31" s="124">
        <f>ROUND((SUMIF('Study Area 1 Input (new)'!$C20:$C79,"VG",'Study Area 1 Input (new)'!L20:L79)+SUMIF('Study Area 1 Input (new)'!$C20:$C79,"WATS",'Study Area 1 Input (new)'!L20:L79)+SUMIF('Study Area 1 Input (new)'!$C20:$C79,"METAL",'Study Area 1 Input (new)'!L20:L79)+SUMIF('Study Area 1 Input (new)'!$C20:$C79,"TGR",'Study Area 1 Input (new)'!L20:L79))*12,2)</f>
        <v>0</v>
      </c>
      <c r="E31" s="124">
        <f>ROUND((SUMIF('Study Area 1 Input (new)'!$C20:$C79,"VG",'Study Area 1 Input (new)'!M20:M79)+SUMIF('Study Area 1 Input (new)'!$C20:$C79,"WATS",'Study Area 1 Input (new)'!M20:M79)+SUMIF('Study Area 1 Input (new)'!$C20:$C79,"METAL",'Study Area 1 Input (new)'!M20:M79)+SUMIF('Study Area 1 Input (new)'!$C20:$C79,"TGR",'Study Area 1 Input (new)'!M20:M79))*12,2)</f>
        <v>0</v>
      </c>
      <c r="F31" s="251"/>
      <c r="G31" s="127">
        <f>ROUND(SUMIF('Study Area 1 Input (new)'!$C91:$C150,"VG",'Study Area 1 Input (new)'!J91:J150)+SUMIF('Study Area 1 Input (new)'!$C91:$C150,"WATS",'Study Area 1 Input (new)'!J91:J150)+SUMIF('Study Area 1 Input (new)'!$C91:$C150,"METAL",'Study Area 1 Input (new)'!J91:J150)+SUMIF('Study Area 1 Input (new)'!$C91:$C150,"TGR",'Study Area 1 Input (new)'!J91:J150),2)</f>
        <v>0</v>
      </c>
      <c r="H31" s="127">
        <f>ROUND(SUMIF('Study Area 1 Input (new)'!$C91:$C150,"VG",'Study Area 1 Input (new)'!K91:K150)+SUMIF('Study Area 1 Input (new)'!$C91:$C150,"WATS",'Study Area 1 Input (new)'!K91:K150)+SUMIF('Study Area 1 Input (new)'!$C91:$C150,"METAL",'Study Area 1 Input (new)'!K91:K150)+SUMIF('Study Area 1 Input (new)'!$C91:$C150,"TGR",'Study Area 1 Input (new)'!K91:K150),2)</f>
        <v>0</v>
      </c>
      <c r="I31" s="255"/>
      <c r="J31" s="125">
        <f t="shared" ref="J31:K37" si="10">SUM(D31,G31)</f>
        <v>0</v>
      </c>
      <c r="K31" s="126">
        <f t="shared" si="10"/>
        <v>0</v>
      </c>
      <c r="L31" s="14"/>
      <c r="M31" s="4"/>
    </row>
    <row r="32" spans="1:18" x14ac:dyDescent="0.55000000000000004">
      <c r="A32" s="122">
        <v>2</v>
      </c>
      <c r="B32" s="224" t="s">
        <v>196</v>
      </c>
      <c r="C32" s="245"/>
      <c r="D32" s="124">
        <f>ROUND((SUMIF('Study Area 1 Input (new)'!$C20:$C79,"AV",'Study Area 1 Input (new)'!L20:L79))*12,2)</f>
        <v>0</v>
      </c>
      <c r="E32" s="124">
        <f>ROUND((SUMIF('Study Area 1 Input (new)'!$C20:$C79,"AV",'Study Area 1 Input (new)'!M20:M79))*12,2)</f>
        <v>0</v>
      </c>
      <c r="F32" s="251"/>
      <c r="G32" s="127">
        <f>ROUND(SUMIF('Study Area 1 Input (new)'!$C91:$C150,"AV",'Study Area 1 Input (new)'!J91:J150),2)</f>
        <v>0</v>
      </c>
      <c r="H32" s="127">
        <f>ROUND(SUMIF('Study Area 1 Input (new)'!$C91:$C150,"AV",'Study Area 1 Input (new)'!K91:K150),2)</f>
        <v>0</v>
      </c>
      <c r="I32" s="255"/>
      <c r="J32" s="125">
        <f t="shared" si="10"/>
        <v>0</v>
      </c>
      <c r="K32" s="126">
        <f t="shared" si="10"/>
        <v>0</v>
      </c>
      <c r="L32" s="14"/>
      <c r="M32" s="4"/>
    </row>
    <row r="33" spans="1:15" x14ac:dyDescent="0.55000000000000004">
      <c r="A33" s="122">
        <v>3</v>
      </c>
      <c r="B33" s="224" t="s">
        <v>197</v>
      </c>
      <c r="C33" s="245"/>
      <c r="D33" s="124">
        <f>ROUND((SUMIF('Study Area 1 Input (new)'!$C20:$C79,"DS1",'Study Area 1 Input (new)'!L20:L79))*12,2)</f>
        <v>0</v>
      </c>
      <c r="E33" s="124">
        <f>ROUND((SUMIF('Study Area 1 Input (new)'!$C20:$C79,"DS1",'Study Area 1 Input (new)'!M20:M79))*12,2)</f>
        <v>0</v>
      </c>
      <c r="F33" s="251"/>
      <c r="G33" s="127">
        <f>ROUND(SUMIF('Study Area 1 Input (new)'!$C91:$C150,"DS1",'Study Area 1 Input (new)'!J91:J150),2)</f>
        <v>0</v>
      </c>
      <c r="H33" s="127">
        <f>ROUND(SUMIF('Study Area 1 Input (new)'!$C91:$C150,"DS1",'Study Area 1 Input (new)'!K91:K150),2)</f>
        <v>0</v>
      </c>
      <c r="I33" s="255"/>
      <c r="J33" s="125">
        <f t="shared" si="10"/>
        <v>0</v>
      </c>
      <c r="K33" s="126">
        <f t="shared" si="10"/>
        <v>0</v>
      </c>
      <c r="L33" s="14"/>
      <c r="M33" s="4"/>
    </row>
    <row r="34" spans="1:15" x14ac:dyDescent="0.55000000000000004">
      <c r="A34" s="122">
        <v>4</v>
      </c>
      <c r="B34" s="224" t="s">
        <v>198</v>
      </c>
      <c r="C34" s="245"/>
      <c r="D34" s="124">
        <f>ROUND((SUMIF('Study Area 1 Input (new)'!$C20:$C79,"DS3",'Study Area 1 Input (new)'!L20:L79))*12,2)</f>
        <v>0</v>
      </c>
      <c r="E34" s="124">
        <f>ROUND((SUMIF('Study Area 1 Input (new)'!$C20:$C79,"DS3",'Study Area 1 Input (new)'!M20:M79))*12,2)</f>
        <v>0</v>
      </c>
      <c r="F34" s="251"/>
      <c r="G34" s="127">
        <f>ROUND(SUMIF('Study Area 1 Input (new)'!$C91:$C150,"DS3",'Study Area 1 Input (new)'!J91:J150),2)</f>
        <v>0</v>
      </c>
      <c r="H34" s="127">
        <f>ROUND(SUMIF('Study Area 1 Input (new)'!$C91:$C150,"DS3",'Study Area 1 Input (new)'!K91:K150),2)</f>
        <v>0</v>
      </c>
      <c r="I34" s="255"/>
      <c r="J34" s="125">
        <f t="shared" si="10"/>
        <v>0</v>
      </c>
      <c r="K34" s="126">
        <f t="shared" si="10"/>
        <v>0</v>
      </c>
      <c r="L34" s="14"/>
      <c r="M34" s="14"/>
    </row>
    <row r="35" spans="1:15" x14ac:dyDescent="0.55000000000000004">
      <c r="A35" s="122">
        <v>5</v>
      </c>
      <c r="B35" s="224" t="s">
        <v>199</v>
      </c>
      <c r="C35" s="245"/>
      <c r="D35" s="124">
        <f>ROUND((SUMIF('Study Area 1 Input (new)'!$C20:$C79,"DS1",'Study Area 1 Input (new)'!L20:L79)+SUMIF('Study Area 1 Input (new)'!$C20:$C79,"DS3",'Study Area 1 Input (new)'!L20:L79)+SUMIF('Study Area 1 Input (new)'!$C20:$C79,"DDS",'Study Area 1 Input (new)'!L20:L79))*12,2)</f>
        <v>0</v>
      </c>
      <c r="E35" s="124">
        <f>ROUND((SUMIF('Study Area 1 Input (new)'!$C20:$C79,"DS1",'Study Area 1 Input (new)'!M20:M79)+SUMIF('Study Area 1 Input (new)'!$C20:$C79,"DS3",'Study Area 1 Input (new)'!M20:M79)+SUMIF('Study Area 1 Input (new)'!$C20:$C79,"DDS",'Study Area 1 Input (new)'!M20:M79))*12,2)</f>
        <v>0</v>
      </c>
      <c r="F35" s="251"/>
      <c r="G35" s="127">
        <f>ROUND(SUMIF('Study Area 1 Input (new)'!$C91:$C150,"DS1",'Study Area 1 Input (new)'!J91:J150)+SUMIF('Study Area 1 Input (new)'!$C91:$C150,"DS3",'Study Area 1 Input (new)'!J91:J150)+SUMIF('Study Area 1 Input (new)'!$C91:$C150,"DDS",'Study Area 1 Input (new)'!J91:J150),2)</f>
        <v>0</v>
      </c>
      <c r="H35" s="127">
        <f>ROUND(SUMIF('Study Area 1 Input (new)'!$C91:$C150,"DS1",'Study Area 1 Input (new)'!K91:K150)+SUMIF('Study Area 1 Input (new)'!$C91:$C150,"DS3",'Study Area 1 Input (new)'!K91:K150)+SUMIF('Study Area 1 Input (new)'!$C91:$C150,"DDS",'Study Area 1 Input (new)'!K91:K150),2)</f>
        <v>0</v>
      </c>
      <c r="I35" s="255"/>
      <c r="J35" s="125">
        <f t="shared" si="10"/>
        <v>0</v>
      </c>
      <c r="K35" s="126">
        <f t="shared" si="10"/>
        <v>0</v>
      </c>
      <c r="L35" s="14"/>
      <c r="M35" s="14"/>
    </row>
    <row r="36" spans="1:15" x14ac:dyDescent="0.55000000000000004">
      <c r="A36" s="122">
        <v>6</v>
      </c>
      <c r="B36" s="225" t="s">
        <v>200</v>
      </c>
      <c r="C36" s="246"/>
      <c r="D36" s="124">
        <f>ROUND((SUMIF('Study Area 1 Input (new)'!$C20:$C79,"WIDE",'Study Area 1 Input (new)'!L20:L79))*12,2)</f>
        <v>0</v>
      </c>
      <c r="E36" s="124">
        <f>ROUND((SUMIF('Study Area 1 Input (new)'!$C20:$C79,"WIDE",'Study Area 1 Input (new)'!M20:M79))*12,2)</f>
        <v>0</v>
      </c>
      <c r="F36" s="251"/>
      <c r="G36" s="127">
        <f>ROUND(SUMIF('Study Area 1 Input (new)'!$C91:$C150,"WIDE",'Study Area 1 Input (new)'!J91:J150),2)</f>
        <v>0</v>
      </c>
      <c r="H36" s="127">
        <f>ROUND(SUMIF('Study Area 1 Input (new)'!$C91:$C150,"WIDE",'Study Area 1 Input (new)'!K91:K150),2)</f>
        <v>0</v>
      </c>
      <c r="I36" s="255"/>
      <c r="J36" s="125">
        <f t="shared" si="10"/>
        <v>0</v>
      </c>
      <c r="K36" s="126">
        <f t="shared" si="10"/>
        <v>0</v>
      </c>
      <c r="L36" s="14"/>
      <c r="M36" s="14"/>
    </row>
    <row r="37" spans="1:15" ht="14.7" thickBot="1" x14ac:dyDescent="0.6">
      <c r="A37" s="133">
        <v>7</v>
      </c>
      <c r="B37" s="229" t="s">
        <v>207</v>
      </c>
      <c r="C37" s="247"/>
      <c r="D37" s="219">
        <f>ROUND(SUM($D31,$D32,$D35,$D36,(SUMIF('Study Area 1 Input (new)'!$C20:$C79,"MISC",'Study Area 1 Input (new)'!K20:K79))*12),2)</f>
        <v>0</v>
      </c>
      <c r="E37" s="219">
        <f>ROUND(SUM($D31,$D32,$D35,$D36,(SUMIF('Study Area 1 Input (new)'!$C20:$C79,"MISC",'Study Area 1 Input (new)'!L20:L79))*12),2)</f>
        <v>0</v>
      </c>
      <c r="F37" s="252"/>
      <c r="G37" s="231">
        <f>ROUND(SUM($G31,$G32,$G35,$G36,SUMIF('Study Area 1 Input (new)'!$C91:$C150,"MISC",'Study Area 1 Input (new)'!J91:J150)),2)</f>
        <v>0</v>
      </c>
      <c r="H37" s="231">
        <f>ROUND(SUM($G31,$G32,$G35,$G36,SUMIF('Study Area 1 Input (new)'!$C91:$C150,"MISC",'Study Area 1 Input (new)'!K91:K150)),2)</f>
        <v>0</v>
      </c>
      <c r="I37" s="256"/>
      <c r="J37" s="220">
        <f t="shared" si="10"/>
        <v>0</v>
      </c>
      <c r="K37" s="221">
        <f t="shared" si="10"/>
        <v>0</v>
      </c>
      <c r="L37" s="14"/>
      <c r="M37" s="14"/>
    </row>
    <row r="38" spans="1:15" x14ac:dyDescent="0.55000000000000004">
      <c r="A38" s="25"/>
      <c r="B38" s="21"/>
      <c r="C38" s="12"/>
      <c r="D38" s="12"/>
      <c r="E38" s="12"/>
      <c r="F38" s="12"/>
      <c r="G38" s="12"/>
      <c r="H38" s="12"/>
      <c r="I38" s="14"/>
      <c r="J38" s="14"/>
      <c r="K38" s="14"/>
      <c r="L38" s="14"/>
      <c r="M38" s="14"/>
    </row>
    <row r="39" spans="1:15" x14ac:dyDescent="0.55000000000000004">
      <c r="A39" s="25"/>
      <c r="B39" s="21"/>
      <c r="C39" s="12"/>
      <c r="D39" s="12"/>
      <c r="E39" s="12"/>
      <c r="F39" s="12"/>
      <c r="G39" s="12"/>
      <c r="H39" s="12"/>
      <c r="I39" s="14"/>
      <c r="J39" s="14"/>
      <c r="K39" s="14"/>
      <c r="L39" s="14"/>
      <c r="M39" s="14"/>
    </row>
    <row r="40" spans="1:15" ht="14.7" thickBot="1" x14ac:dyDescent="0.6">
      <c r="A40" s="25"/>
      <c r="B40" s="21"/>
      <c r="C40" s="12"/>
      <c r="D40" s="12"/>
      <c r="E40" s="12"/>
      <c r="F40" s="12"/>
      <c r="G40" s="12"/>
      <c r="H40" s="12"/>
      <c r="I40" s="14"/>
      <c r="J40" s="14"/>
      <c r="K40" s="14"/>
      <c r="L40" s="14"/>
      <c r="M40" s="14"/>
    </row>
    <row r="41" spans="1:15" ht="14.7" thickBot="1" x14ac:dyDescent="0.6">
      <c r="A41" s="399"/>
      <c r="B41" s="393" t="str">
        <f>CONCATENATE('Study Area 2 Input'!$C$6," ",'Study Area 2 Input'!$C$7)</f>
        <v>900002 Example Study Area 2</v>
      </c>
      <c r="C41" s="394"/>
      <c r="D41" s="394"/>
      <c r="E41" s="394"/>
      <c r="F41" s="394"/>
      <c r="G41" s="394"/>
      <c r="H41" s="394"/>
      <c r="I41" s="394"/>
      <c r="J41" s="394"/>
      <c r="K41" s="395"/>
      <c r="L41" s="14"/>
      <c r="M41" s="14"/>
    </row>
    <row r="42" spans="1:15" ht="14.7" thickBot="1" x14ac:dyDescent="0.6">
      <c r="A42" s="400"/>
      <c r="B42" s="214"/>
      <c r="C42" s="388" t="s">
        <v>181</v>
      </c>
      <c r="D42" s="389"/>
      <c r="E42" s="390"/>
      <c r="F42" s="385" t="s">
        <v>182</v>
      </c>
      <c r="G42" s="386"/>
      <c r="H42" s="387"/>
      <c r="I42" s="388" t="s">
        <v>183</v>
      </c>
      <c r="J42" s="389"/>
      <c r="K42" s="390"/>
      <c r="M42" s="4"/>
      <c r="N42" s="4"/>
      <c r="O42" s="5"/>
    </row>
    <row r="43" spans="1:15" ht="67.5" customHeight="1" x14ac:dyDescent="0.55000000000000004">
      <c r="A43" s="400"/>
      <c r="B43" s="66" t="s">
        <v>184</v>
      </c>
      <c r="C43" s="18" t="str">
        <f>CONCATENATE("At Last PCI Update",CHAR(10)," (",'Factor Dev'!$S$19,")")</f>
        <v>At Last PCI Update
 (October 1, 2023)</v>
      </c>
      <c r="D43" s="19" t="str">
        <f>CONCATENATE("At Current Rate",CHAR(10)," (",CurrentRate,")")</f>
        <v>At Current Rate
 (July 1, 2024)</v>
      </c>
      <c r="E43" s="35" t="str">
        <f>CONCATENATE("At Proposed Rate",CHAR(10)," (",TariffEffectiveDate,")")</f>
        <v>At Proposed Rate
 (July 2, 2024)</v>
      </c>
      <c r="F43" s="18" t="str">
        <f>CONCATENATE("At Last PCI Update",CHAR(10)," (",'Factor Dev'!$S$19,")")</f>
        <v>At Last PCI Update
 (October 1, 2023)</v>
      </c>
      <c r="G43" s="19" t="str">
        <f>CONCATENATE("At Current Rate",CHAR(10)," (",CurrentRate,")")</f>
        <v>At Current Rate
 (July 1, 2024)</v>
      </c>
      <c r="H43" s="35" t="str">
        <f>CONCATENATE("At Proposed Rate",CHAR(10)," (",TariffEffectiveDate,")")</f>
        <v>At Proposed Rate
 (July 2, 2024)</v>
      </c>
      <c r="I43" s="18" t="str">
        <f>CONCATENATE("At Last PCI Update",CHAR(10)," (",'Factor Dev'!$S$19,")")</f>
        <v>At Last PCI Update
 (October 1, 2023)</v>
      </c>
      <c r="J43" s="19" t="str">
        <f>CONCATENATE("At Current Rate",CHAR(10)," (",CurrentRate,")")</f>
        <v>At Current Rate
 (July 1, 2024)</v>
      </c>
      <c r="K43" s="35" t="str">
        <f>CONCATENATE("At Proposed Rate",CHAR(10)," (",TariffEffectiveDate,")")</f>
        <v>At Proposed Rate
 (July 2, 2024)</v>
      </c>
      <c r="L43" s="14"/>
      <c r="M43" s="14"/>
    </row>
    <row r="44" spans="1:15" x14ac:dyDescent="0.55000000000000004">
      <c r="A44" s="400"/>
      <c r="B44" s="215"/>
      <c r="C44" s="121" t="str">
        <f t="shared" ref="C44:K44" si="11">"Col "&amp;COLUMN(C44)+90</f>
        <v>Col 93</v>
      </c>
      <c r="D44" s="119" t="str">
        <f t="shared" si="11"/>
        <v>Col 94</v>
      </c>
      <c r="E44" s="120" t="str">
        <f t="shared" si="11"/>
        <v>Col 95</v>
      </c>
      <c r="F44" s="121" t="str">
        <f t="shared" si="11"/>
        <v>Col 96</v>
      </c>
      <c r="G44" s="119" t="str">
        <f t="shared" si="11"/>
        <v>Col 97</v>
      </c>
      <c r="H44" s="120" t="str">
        <f t="shared" si="11"/>
        <v>Col 98</v>
      </c>
      <c r="I44" s="121" t="str">
        <f t="shared" si="11"/>
        <v>Col 99</v>
      </c>
      <c r="J44" s="119" t="str">
        <f t="shared" si="11"/>
        <v>Col 100</v>
      </c>
      <c r="K44" s="120" t="str">
        <f t="shared" si="11"/>
        <v>Col 101</v>
      </c>
      <c r="L44" s="14"/>
      <c r="M44" s="14"/>
    </row>
    <row r="45" spans="1:15" ht="118.15" customHeight="1" x14ac:dyDescent="0.55000000000000004">
      <c r="A45" s="66" t="s">
        <v>189</v>
      </c>
      <c r="B45" s="215"/>
      <c r="C45" s="67" t="s">
        <v>203</v>
      </c>
      <c r="D45" s="64" t="s">
        <v>208</v>
      </c>
      <c r="E45" s="65" t="s">
        <v>204</v>
      </c>
      <c r="F45" s="67" t="s">
        <v>209</v>
      </c>
      <c r="G45" s="64" t="s">
        <v>205</v>
      </c>
      <c r="H45" s="65" t="s">
        <v>206</v>
      </c>
      <c r="I45" s="67" t="str">
        <f>"Sum("&amp;C44&amp;" + "&amp;F44&amp;")"</f>
        <v>Sum(Col 93 + Col 96)</v>
      </c>
      <c r="J45" s="64" t="str">
        <f>"Sum("&amp;D44&amp;" + "&amp;G44&amp;")"</f>
        <v>Sum(Col 94 + Col 97)</v>
      </c>
      <c r="K45" s="65" t="str">
        <f>"Sum("&amp;E44&amp;" + "&amp;H44&amp;")"</f>
        <v>Sum(Col 95 + Col 98)</v>
      </c>
      <c r="L45" s="14"/>
      <c r="M45" s="14"/>
    </row>
    <row r="46" spans="1:15" x14ac:dyDescent="0.55000000000000004">
      <c r="A46" s="122">
        <v>1</v>
      </c>
      <c r="B46" s="216" t="s">
        <v>195</v>
      </c>
      <c r="C46" s="124">
        <f>ROUND((SUMIF('Study Area 2 Input'!C20:C79,"VG",'Study Area 2 Input'!K20:K79)+SUMIF('Study Area 2 Input'!C20:C79,"WATS",'Study Area 2 Input'!K20:K79)+SUMIF('Study Area 2 Input'!C20:C79,"METAL",'Study Area 2 Input'!K20:K79)+SUMIF('Study Area 2 Input'!C20:C79,"TGR",'Study Area 2 Input'!K20:K79))*12,2)</f>
        <v>0</v>
      </c>
      <c r="D46" s="125">
        <f>ROUND((SUMIF('Study Area 2 Input'!C20:C79,"VG",'Study Area 2 Input'!L20:L79)+SUMIF('Study Area 2 Input'!C20:C79,"WATS",'Study Area 2 Input'!L20:L79)+SUMIF('Study Area 2 Input'!C20:C79,"METAL",'Study Area 2 Input'!L20:L79)+SUMIF('Study Area 2 Input'!C20:C79,"TGR",'Study Area 2 Input'!L20:L79))*12,2)</f>
        <v>0</v>
      </c>
      <c r="E46" s="126">
        <f>ROUND((SUMIF('Study Area 2 Input'!C20:C79,"VG",'Study Area 2 Input'!M20:M79)+SUMIF('Study Area 2 Input'!C20:C79,"WATS",'Study Area 2 Input'!M20:M79)+SUMIF('Study Area 2 Input'!C20:C79,"METAL",'Study Area 2 Input'!M20:M79)+SUMIF('Study Area 2 Input'!C20:C79,"TGR",'Study Area 2 Input'!M20:M79))*12,2)</f>
        <v>0</v>
      </c>
      <c r="F46" s="124">
        <f>ROUND(SUMIF('Study Area 2 Input'!$C90:$C150,"VG",'Study Area 2 Input'!I90:I150)+SUMIF('Study Area 2 Input'!$C90:$C150,"WATS",'Study Area 2 Input'!I90:I150)+SUMIF('Study Area 2 Input'!$C90:$C150,"METAL",'Study Area 2 Input'!I90:I150)+SUMIF('Study Area 2 Input'!$C90:$C150,"TGR",'Study Area 2 Input'!I90:I150),2)</f>
        <v>0</v>
      </c>
      <c r="G46" s="125">
        <f>ROUND(SUMIF('Study Area 2 Input'!$C90:$C150,"VG",'Study Area 2 Input'!J90:J150)+SUMIF('Study Area 2 Input'!$C90:$C150,"WATS",'Study Area 2 Input'!J90:J150)+SUMIF('Study Area 2 Input'!$C90:$C150,"METAL",'Study Area 2 Input'!J90:J150)+SUMIF('Study Area 2 Input'!$C90:$C150,"TGR",'Study Area 2 Input'!J90:J150),2)</f>
        <v>0</v>
      </c>
      <c r="H46" s="126">
        <f>ROUND(SUMIF('Study Area 2 Input'!$C90:$C150,"VG",'Study Area 2 Input'!K90:K150)+SUMIF('Study Area 2 Input'!$C90:$C150,"WATS",'Study Area 2 Input'!K90:K150)+SUMIF('Study Area 2 Input'!$C90:$C150,"METAL",'Study Area 2 Input'!K90:K150)+SUMIF('Study Area 2 Input'!$C90:$C150,"TGR",'Study Area 2 Input'!K90:K150),2)</f>
        <v>0</v>
      </c>
      <c r="I46" s="124">
        <f>SUM(C46,F46)</f>
        <v>0</v>
      </c>
      <c r="J46" s="125">
        <f>SUM(D46,G46)</f>
        <v>0</v>
      </c>
      <c r="K46" s="126">
        <f>SUM(E46,H46)</f>
        <v>0</v>
      </c>
      <c r="L46" s="14"/>
      <c r="M46" s="14"/>
    </row>
    <row r="47" spans="1:15" x14ac:dyDescent="0.55000000000000004">
      <c r="A47" s="122">
        <v>2</v>
      </c>
      <c r="B47" s="216" t="s">
        <v>196</v>
      </c>
      <c r="C47" s="124">
        <f>ROUND((SUMIF('Study Area 2 Input'!C20:C79,"AV",'Study Area 2 Input'!K20:K79))*12,2)</f>
        <v>0</v>
      </c>
      <c r="D47" s="125">
        <f>ROUND((SUMIF('Study Area 2 Input'!C20:C79,"AV",'Study Area 2 Input'!L20:L79))*12,2)</f>
        <v>0</v>
      </c>
      <c r="E47" s="126">
        <f>ROUND((SUMIF('Study Area 2 Input'!C20:C79,"AV",'Study Area 2 Input'!M20:M79))*12,2)</f>
        <v>0</v>
      </c>
      <c r="F47" s="124">
        <f>ROUND(SUMIF('Study Area 2 Input'!$C90:$C150,"AV",'Study Area 2 Input'!I90:I150),2)</f>
        <v>0</v>
      </c>
      <c r="G47" s="125">
        <f>ROUND(SUMIF('Study Area 2 Input'!$C90:$C150,"AV",'Study Area 2 Input'!J90:J150),2)</f>
        <v>0</v>
      </c>
      <c r="H47" s="126">
        <f>ROUND(SUMIF('Study Area 2 Input'!$C90:$C150,"AV",'Study Area 2 Input'!K90:K150),2)</f>
        <v>0</v>
      </c>
      <c r="I47" s="124">
        <f t="shared" ref="I47:K52" si="12">SUM(C47,F47)</f>
        <v>0</v>
      </c>
      <c r="J47" s="125">
        <f t="shared" si="12"/>
        <v>0</v>
      </c>
      <c r="K47" s="126">
        <f t="shared" si="12"/>
        <v>0</v>
      </c>
      <c r="L47" s="14"/>
      <c r="M47" s="14"/>
    </row>
    <row r="48" spans="1:15" x14ac:dyDescent="0.55000000000000004">
      <c r="A48" s="122">
        <v>3</v>
      </c>
      <c r="B48" s="216" t="s">
        <v>197</v>
      </c>
      <c r="C48" s="124">
        <f>ROUND((SUMIF('Study Area 2 Input'!C20:C79,"DS1",'Study Area 2 Input'!K20:K79))*12,2)</f>
        <v>0</v>
      </c>
      <c r="D48" s="125">
        <f>ROUND((SUMIF('Study Area 2 Input'!C20:C79,"DS1",'Study Area 2 Input'!L20:L79))*12,2)</f>
        <v>0</v>
      </c>
      <c r="E48" s="126">
        <f>ROUND((SUMIF('Study Area 2 Input'!C20:C79,"DS1",'Study Area 2 Input'!M20:M79))*12,2)</f>
        <v>0</v>
      </c>
      <c r="F48" s="124">
        <f>ROUND(SUMIF('Study Area 2 Input'!$C90:$C150,"DS1",'Study Area 2 Input'!I90:I150),2)</f>
        <v>0</v>
      </c>
      <c r="G48" s="125">
        <f>ROUND(SUMIF('Study Area 2 Input'!$C90:$C150,"DS1",'Study Area 2 Input'!J90:J150),2)</f>
        <v>0</v>
      </c>
      <c r="H48" s="126">
        <f>ROUND(SUMIF('Study Area 2 Input'!$C90:$C150,"DS1",'Study Area 2 Input'!K90:K150),2)</f>
        <v>0</v>
      </c>
      <c r="I48" s="124">
        <f t="shared" si="12"/>
        <v>0</v>
      </c>
      <c r="J48" s="125">
        <f t="shared" si="12"/>
        <v>0</v>
      </c>
      <c r="K48" s="126">
        <f t="shared" si="12"/>
        <v>0</v>
      </c>
      <c r="L48" s="14"/>
      <c r="M48" s="14"/>
    </row>
    <row r="49" spans="1:15" x14ac:dyDescent="0.55000000000000004">
      <c r="A49" s="122">
        <v>4</v>
      </c>
      <c r="B49" s="216" t="s">
        <v>198</v>
      </c>
      <c r="C49" s="124">
        <f>ROUND((SUMIF('Study Area 2 Input'!C20:C79,"DS3",'Study Area 2 Input'!K20:K79))*12,2)</f>
        <v>0</v>
      </c>
      <c r="D49" s="125">
        <f>ROUND((SUMIF('Study Area 2 Input'!C20:C79,"DS3",'Study Area 2 Input'!L20:L79))*12,2)</f>
        <v>0</v>
      </c>
      <c r="E49" s="126">
        <f>ROUND((SUMIF('Study Area 2 Input'!C20:C79,"DS3",'Study Area 2 Input'!M20:M79))*12,2)</f>
        <v>0</v>
      </c>
      <c r="F49" s="124">
        <f>ROUND(SUMIF('Study Area 2 Input'!$C90:$C150,"DS3",'Study Area 2 Input'!I90:I150),2)</f>
        <v>0</v>
      </c>
      <c r="G49" s="125">
        <f>ROUND(SUMIF('Study Area 2 Input'!$C90:$C150,"DS3",'Study Area 2 Input'!J90:J150),2)</f>
        <v>0</v>
      </c>
      <c r="H49" s="126">
        <f>ROUND(SUMIF('Study Area 2 Input'!$C90:$C150,"DS3",'Study Area 2 Input'!K90:K150),2)</f>
        <v>0</v>
      </c>
      <c r="I49" s="124">
        <f t="shared" si="12"/>
        <v>0</v>
      </c>
      <c r="J49" s="125">
        <f t="shared" si="12"/>
        <v>0</v>
      </c>
      <c r="K49" s="126">
        <f t="shared" si="12"/>
        <v>0</v>
      </c>
      <c r="L49" s="14"/>
      <c r="M49" s="14"/>
    </row>
    <row r="50" spans="1:15" x14ac:dyDescent="0.55000000000000004">
      <c r="A50" s="122">
        <v>5</v>
      </c>
      <c r="B50" s="216" t="s">
        <v>199</v>
      </c>
      <c r="C50" s="124">
        <f>ROUND((SUMIF('Study Area 2 Input'!C20:C79,"DS1",'Study Area 2 Input'!K20:K79)+SUMIF('Study Area 2 Input'!C20:C79,"DS3",'Study Area 2 Input'!K20:K79)+SUMIF('Study Area 2 Input'!C20:C79,"DDS",'Study Area 2 Input'!K20:K79))*12,2)</f>
        <v>0</v>
      </c>
      <c r="D50" s="125">
        <f>ROUND((SUMIF('Study Area 2 Input'!C20:C79,"DS1",'Study Area 2 Input'!L20:L79)+SUMIF('Study Area 2 Input'!C20:C79,"DS3",'Study Area 2 Input'!L20:L79)+SUMIF('Study Area 2 Input'!C20:C79,"DDS",'Study Area 2 Input'!L20:L79))*12,2)</f>
        <v>0</v>
      </c>
      <c r="E50" s="126">
        <f>ROUND((SUMIF('Study Area 2 Input'!C20:C79,"DS1",'Study Area 2 Input'!M20:M79)+SUMIF('Study Area 2 Input'!C20:C79,"DS3",'Study Area 2 Input'!M20:M79)+SUMIF('Study Area 2 Input'!C20:C79,"DDS",'Study Area 2 Input'!M20:M79))*12,2)</f>
        <v>0</v>
      </c>
      <c r="F50" s="124">
        <f>ROUND(SUMIF('Study Area 2 Input'!$C90:$C150,"DS1",'Study Area 2 Input'!I90:I150)+SUMIF('Study Area 2 Input'!$C90:$C150,"DS3",'Study Area 2 Input'!I90:I150)+SUMIF('Study Area 2 Input'!$C90:$C150,"DDS",'Study Area 2 Input'!I90:I150),2)</f>
        <v>0</v>
      </c>
      <c r="G50" s="125">
        <f>ROUND(SUMIF('Study Area 2 Input'!$C90:$C150,"DS1",'Study Area 2 Input'!J90:J150)+SUMIF('Study Area 2 Input'!$C90:$C150,"DS3",'Study Area 2 Input'!J90:J150)+SUMIF('Study Area 2 Input'!$C90:$C150,"DDS",'Study Area 2 Input'!J90:J150),2)</f>
        <v>0</v>
      </c>
      <c r="H50" s="126">
        <f>ROUND(SUMIF('Study Area 2 Input'!$C90:$C150,"DS1",'Study Area 2 Input'!K90:K150)+SUMIF('Study Area 2 Input'!$C90:$C150,"DS3",'Study Area 2 Input'!K90:K150)+SUMIF('Study Area 2 Input'!$C90:$C150,"DDS",'Study Area 2 Input'!K90:K150),2)</f>
        <v>0</v>
      </c>
      <c r="I50" s="124">
        <f t="shared" si="12"/>
        <v>0</v>
      </c>
      <c r="J50" s="125">
        <f t="shared" si="12"/>
        <v>0</v>
      </c>
      <c r="K50" s="126">
        <f t="shared" si="12"/>
        <v>0</v>
      </c>
      <c r="L50" s="14"/>
      <c r="M50" s="14"/>
    </row>
    <row r="51" spans="1:15" x14ac:dyDescent="0.55000000000000004">
      <c r="A51" s="122">
        <v>6</v>
      </c>
      <c r="B51" s="217" t="s">
        <v>200</v>
      </c>
      <c r="C51" s="124">
        <f>ROUND((SUMIF('Study Area 2 Input'!C20:C79,"WIDE",'Study Area 2 Input'!K20:K79))*12,2)</f>
        <v>0</v>
      </c>
      <c r="D51" s="125">
        <f>ROUND((SUMIF('Study Area 2 Input'!C20:C79,"WIDE",'Study Area 2 Input'!L20:L79))*12,2)</f>
        <v>0</v>
      </c>
      <c r="E51" s="126">
        <f>ROUND((SUMIF('Study Area 2 Input'!C20:C79,"WIDE",'Study Area 2 Input'!M20:M79))*12,2)</f>
        <v>0</v>
      </c>
      <c r="F51" s="124">
        <f>ROUND(SUMIF('Study Area 2 Input'!$C90:$C150,"WIDE",'Study Area 2 Input'!I90:I150),2)</f>
        <v>0</v>
      </c>
      <c r="G51" s="125">
        <f>ROUND(SUMIF('Study Area 2 Input'!$C90:$C150,"WIDE",'Study Area 2 Input'!J90:J150),2)</f>
        <v>0</v>
      </c>
      <c r="H51" s="126">
        <f>ROUND(SUMIF('Study Area 2 Input'!$C90:$C150,"WIDE",'Study Area 2 Input'!K90:K150),2)</f>
        <v>0</v>
      </c>
      <c r="I51" s="124">
        <f t="shared" si="12"/>
        <v>0</v>
      </c>
      <c r="J51" s="125">
        <f t="shared" si="12"/>
        <v>0</v>
      </c>
      <c r="K51" s="126">
        <f t="shared" si="12"/>
        <v>0</v>
      </c>
      <c r="L51" s="14"/>
      <c r="M51" s="14"/>
    </row>
    <row r="52" spans="1:15" ht="14.7" thickBot="1" x14ac:dyDescent="0.6">
      <c r="A52" s="133">
        <v>7</v>
      </c>
      <c r="B52" s="218" t="s">
        <v>207</v>
      </c>
      <c r="C52" s="219">
        <f>ROUND(SUM($C46,$C47,$C50,$C51,(SUMIF('Study Area 2 Input'!C20:C79,"MISC",'Study Area 2 Input'!K20:K79))*12),2)</f>
        <v>0</v>
      </c>
      <c r="D52" s="220">
        <f>ROUND(SUM($D46,$D47,$D50,$D51,(SUMIF('Study Area 2 Input'!C20:C79,"MISC",'Study Area 2 Input'!L20:L79))*12),2)</f>
        <v>0</v>
      </c>
      <c r="E52" s="221">
        <f>ROUND(SUM($E46,$E47,$E50,$E51,(SUMIF('Study Area 2 Input'!C20:C79,"MISC",'Study Area 2 Input'!M20:M79))*12),2)</f>
        <v>0</v>
      </c>
      <c r="F52" s="219">
        <f>ROUND(SUM($F46,$F47,$F50,$F51,SUMIF('Study Area 2 Input'!$C90:$C150,"MISC",'Study Area 2 Input'!I90:I150)),2)</f>
        <v>0</v>
      </c>
      <c r="G52" s="220">
        <f>ROUND(SUM($G46,$G47,$G50,$G51,SUMIF('Study Area 2 Input'!$C90:$C150,"MISC",'Study Area 2 Input'!J90:J150)),2)</f>
        <v>0</v>
      </c>
      <c r="H52" s="221">
        <f>ROUND(SUM($H46,$H47,$H50,$H51,SUMIF('Study Area 2 Input'!$C90:$C150,"MISC",'Study Area 2 Input'!K90:K150)),2)</f>
        <v>0</v>
      </c>
      <c r="I52" s="219">
        <f t="shared" si="12"/>
        <v>0</v>
      </c>
      <c r="J52" s="220">
        <f t="shared" si="12"/>
        <v>0</v>
      </c>
      <c r="K52" s="221">
        <f t="shared" si="12"/>
        <v>0</v>
      </c>
      <c r="L52" s="14"/>
      <c r="M52" s="14"/>
    </row>
    <row r="53" spans="1:15" x14ac:dyDescent="0.55000000000000004">
      <c r="A53" s="25"/>
      <c r="B53" s="21"/>
      <c r="C53" s="12"/>
      <c r="D53" s="12"/>
      <c r="E53" s="12"/>
      <c r="F53" s="12"/>
      <c r="G53" s="12"/>
      <c r="H53" s="12"/>
      <c r="I53" s="12"/>
      <c r="J53" s="12"/>
      <c r="K53" s="12"/>
      <c r="L53" s="14"/>
      <c r="M53" s="14"/>
    </row>
    <row r="54" spans="1:15" x14ac:dyDescent="0.55000000000000004">
      <c r="A54" s="25"/>
      <c r="B54" s="21"/>
      <c r="C54" s="12"/>
      <c r="D54" s="12"/>
      <c r="E54" s="12"/>
      <c r="F54" s="12"/>
      <c r="G54" s="12"/>
      <c r="H54" s="12"/>
      <c r="I54" s="14"/>
      <c r="J54" s="14"/>
      <c r="K54" s="14"/>
      <c r="L54" s="14"/>
      <c r="M54" s="14"/>
    </row>
    <row r="55" spans="1:15" ht="14.7" thickBot="1" x14ac:dyDescent="0.6"/>
    <row r="56" spans="1:15" ht="14.7" thickBot="1" x14ac:dyDescent="0.6">
      <c r="A56" s="399"/>
      <c r="B56" s="393" t="str">
        <f>CONCATENATE('Study Area 3 Input'!$C$6," ",'Study Area 3 Input'!$C$7)</f>
        <v>900003 Example Study Area 3</v>
      </c>
      <c r="C56" s="394"/>
      <c r="D56" s="394"/>
      <c r="E56" s="394"/>
      <c r="F56" s="394"/>
      <c r="G56" s="394"/>
      <c r="H56" s="394"/>
      <c r="I56" s="394"/>
      <c r="J56" s="394"/>
      <c r="K56" s="395"/>
      <c r="L56" s="14"/>
      <c r="M56" s="14"/>
    </row>
    <row r="57" spans="1:15" ht="14.7" thickBot="1" x14ac:dyDescent="0.6">
      <c r="A57" s="400"/>
      <c r="B57" s="214"/>
      <c r="C57" s="388" t="s">
        <v>181</v>
      </c>
      <c r="D57" s="389"/>
      <c r="E57" s="390"/>
      <c r="F57" s="385" t="s">
        <v>182</v>
      </c>
      <c r="G57" s="386"/>
      <c r="H57" s="387"/>
      <c r="I57" s="388" t="s">
        <v>183</v>
      </c>
      <c r="J57" s="389"/>
      <c r="K57" s="390"/>
      <c r="M57" s="4"/>
      <c r="N57" s="4"/>
      <c r="O57" s="5"/>
    </row>
    <row r="58" spans="1:15" ht="67.5" customHeight="1" x14ac:dyDescent="0.55000000000000004">
      <c r="A58" s="400"/>
      <c r="B58" s="66" t="s">
        <v>184</v>
      </c>
      <c r="C58" s="18" t="str">
        <f>CONCATENATE("At Last PCI Update",CHAR(10)," (",'Factor Dev'!$S$19,")")</f>
        <v>At Last PCI Update
 (October 1, 2023)</v>
      </c>
      <c r="D58" s="19" t="str">
        <f>CONCATENATE("At Current Rate",CHAR(10)," (",CurrentRate,")")</f>
        <v>At Current Rate
 (July 1, 2024)</v>
      </c>
      <c r="E58" s="35" t="str">
        <f>CONCATENATE("At Proposed Rate",CHAR(10)," (",TariffEffectiveDate,")")</f>
        <v>At Proposed Rate
 (July 2, 2024)</v>
      </c>
      <c r="F58" s="18" t="str">
        <f>CONCATENATE("At Last PCI Update",CHAR(10)," (",'Factor Dev'!$S$19,")")</f>
        <v>At Last PCI Update
 (October 1, 2023)</v>
      </c>
      <c r="G58" s="19" t="str">
        <f>CONCATENATE("At Current Rate",CHAR(10)," (",CurrentRate,")")</f>
        <v>At Current Rate
 (July 1, 2024)</v>
      </c>
      <c r="H58" s="35" t="str">
        <f>CONCATENATE("At Proposed Rate",CHAR(10)," (",TariffEffectiveDate,")")</f>
        <v>At Proposed Rate
 (July 2, 2024)</v>
      </c>
      <c r="I58" s="18" t="str">
        <f>CONCATENATE("At Last PCI Update",CHAR(10)," (",'Factor Dev'!$S$19,")")</f>
        <v>At Last PCI Update
 (October 1, 2023)</v>
      </c>
      <c r="J58" s="19" t="str">
        <f>CONCATENATE("At Current Rate",CHAR(10)," (",CurrentRate,")")</f>
        <v>At Current Rate
 (July 1, 2024)</v>
      </c>
      <c r="K58" s="35" t="str">
        <f>CONCATENATE("At Proposed Rate",CHAR(10)," (",TariffEffectiveDate,")")</f>
        <v>At Proposed Rate
 (July 2, 2024)</v>
      </c>
      <c r="L58" s="14"/>
      <c r="M58" s="14"/>
    </row>
    <row r="59" spans="1:15" x14ac:dyDescent="0.55000000000000004">
      <c r="A59" s="400"/>
      <c r="B59" s="215"/>
      <c r="C59" s="121" t="str">
        <f>"Col "&amp;COLUMN(C59)+99</f>
        <v>Col 102</v>
      </c>
      <c r="D59" s="119" t="str">
        <f t="shared" ref="D59:K59" si="13">"Col "&amp;COLUMN(D59)+99</f>
        <v>Col 103</v>
      </c>
      <c r="E59" s="120" t="str">
        <f t="shared" si="13"/>
        <v>Col 104</v>
      </c>
      <c r="F59" s="121" t="str">
        <f t="shared" si="13"/>
        <v>Col 105</v>
      </c>
      <c r="G59" s="119" t="str">
        <f t="shared" si="13"/>
        <v>Col 106</v>
      </c>
      <c r="H59" s="120" t="str">
        <f t="shared" si="13"/>
        <v>Col 107</v>
      </c>
      <c r="I59" s="121" t="str">
        <f t="shared" si="13"/>
        <v>Col 108</v>
      </c>
      <c r="J59" s="119" t="str">
        <f t="shared" si="13"/>
        <v>Col 109</v>
      </c>
      <c r="K59" s="120" t="str">
        <f t="shared" si="13"/>
        <v>Col 110</v>
      </c>
      <c r="L59" s="14"/>
      <c r="M59" s="14"/>
    </row>
    <row r="60" spans="1:15" ht="43.2" x14ac:dyDescent="0.55000000000000004">
      <c r="A60" s="66" t="s">
        <v>189</v>
      </c>
      <c r="B60" s="215"/>
      <c r="C60" s="67" t="s">
        <v>203</v>
      </c>
      <c r="D60" s="64" t="s">
        <v>208</v>
      </c>
      <c r="E60" s="65" t="s">
        <v>204</v>
      </c>
      <c r="F60" s="67" t="s">
        <v>209</v>
      </c>
      <c r="G60" s="64" t="s">
        <v>205</v>
      </c>
      <c r="H60" s="65" t="s">
        <v>206</v>
      </c>
      <c r="I60" s="67" t="str">
        <f>"Sum("&amp;C59&amp;" + "&amp;F59&amp;")"</f>
        <v>Sum(Col 102 + Col 105)</v>
      </c>
      <c r="J60" s="64" t="str">
        <f>"Sum("&amp;D59&amp;" + "&amp;G59&amp;")"</f>
        <v>Sum(Col 103 + Col 106)</v>
      </c>
      <c r="K60" s="65" t="str">
        <f>"Sum("&amp;E59&amp;" + "&amp;H59&amp;")"</f>
        <v>Sum(Col 104 + Col 107)</v>
      </c>
      <c r="L60" s="14"/>
      <c r="M60" s="14"/>
    </row>
    <row r="61" spans="1:15" x14ac:dyDescent="0.55000000000000004">
      <c r="A61" s="122">
        <v>1</v>
      </c>
      <c r="B61" s="216" t="s">
        <v>195</v>
      </c>
      <c r="C61" s="124">
        <f>ROUND((SUMIF('Study Area 3 Input'!C20:C79,"VG",'Study Area 3 Input'!K20:K79)+SUMIF('Study Area 3 Input'!C20:C79,"WATS",'Study Area 3 Input'!K20:K79)+SUMIF('Study Area 3 Input'!C20:C79,"METAL",'Study Area 3 Input'!K20:K79)+SUMIF('Study Area 3 Input'!C20:C79,"TGR",'Study Area 3 Input'!K20:K79))*12,2)</f>
        <v>0</v>
      </c>
      <c r="D61" s="125">
        <f>ROUND((SUMIF('Study Area 3 Input'!C20:C79,"VG",'Study Area 3 Input'!L20:L79)+SUMIF('Study Area 3 Input'!C20:C79,"WATS",'Study Area 3 Input'!L20:L79)+SUMIF('Study Area 3 Input'!C20:C79,"METAL",'Study Area 3 Input'!L20:L79)+SUMIF('Study Area 3 Input'!C20:C79,"TGR",'Study Area 3 Input'!L20:L79))*12,2)</f>
        <v>0</v>
      </c>
      <c r="E61" s="126">
        <f>ROUND((SUMIF('Study Area 3 Input'!C20:C79,"VG",'Study Area 3 Input'!M20:M79)+SUMIF('Study Area 3 Input'!C20:C79,"WATS",'Study Area 3 Input'!M20:M79)+SUMIF('Study Area 3 Input'!C20:C79,"METAL",'Study Area 3 Input'!M20:M79)+SUMIF('Study Area 3 Input'!C20:C79,"TGR",'Study Area 3 Input'!M20:M79))*12,2)</f>
        <v>0</v>
      </c>
      <c r="F61" s="124">
        <f>ROUND(SUMIF('Study Area 3 Input'!$C90:$C150,"VG",'Study Area 3 Input'!I90:I150)+SUMIF('Study Area 3 Input'!$C90:$C150,"WATS",'Study Area 3 Input'!I90:I150)+SUMIF('Study Area 3 Input'!$C90:$C150,"METAL",'Study Area 3 Input'!I90:I150)+SUMIF('Study Area 3 Input'!$C90:$C150,"TGR",'Study Area 3 Input'!I90:I150),2)</f>
        <v>0</v>
      </c>
      <c r="G61" s="125">
        <f>ROUND(SUMIF('Study Area 3 Input'!$C90:$C150,"VG",'Study Area 3 Input'!J90:J150)+SUMIF('Study Area 3 Input'!$C90:$C150,"WATS",'Study Area 3 Input'!J90:J150)+SUMIF('Study Area 3 Input'!$C90:$C150,"METAL",'Study Area 3 Input'!J90:J150)+SUMIF('Study Area 3 Input'!$C90:$C150,"TGR",'Study Area 3 Input'!J90:J150),2)</f>
        <v>0</v>
      </c>
      <c r="H61" s="126">
        <f>ROUND(SUMIF('Study Area 3 Input'!$C90:$C150,"VG",'Study Area 3 Input'!K90:K150)+SUMIF('Study Area 3 Input'!$C90:$C150,"WATS",'Study Area 3 Input'!K90:K150)+SUMIF('Study Area 3 Input'!$C90:$C150,"METAL",'Study Area 3 Input'!K90:K150)+SUMIF('Study Area 3 Input'!$C90:$C150,"TGR",'Study Area 3 Input'!K90:K150),2)</f>
        <v>0</v>
      </c>
      <c r="I61" s="124">
        <f>SUM(C61,F61)</f>
        <v>0</v>
      </c>
      <c r="J61" s="125">
        <f>SUM(D61,G61)</f>
        <v>0</v>
      </c>
      <c r="K61" s="126">
        <f>SUM(E61,H61)</f>
        <v>0</v>
      </c>
      <c r="L61" s="14"/>
      <c r="M61" s="14"/>
    </row>
    <row r="62" spans="1:15" x14ac:dyDescent="0.55000000000000004">
      <c r="A62" s="122">
        <v>2</v>
      </c>
      <c r="B62" s="216" t="s">
        <v>196</v>
      </c>
      <c r="C62" s="124">
        <f>ROUND((SUMIF('Study Area 3 Input'!C20:C79,"AV",'Study Area 3 Input'!K20:K79))*12,2)</f>
        <v>0</v>
      </c>
      <c r="D62" s="125">
        <f>ROUND((SUMIF('Study Area 3 Input'!C20:C79,"AV",'Study Area 3 Input'!L20:L79))*12,2)</f>
        <v>0</v>
      </c>
      <c r="E62" s="126">
        <f>ROUND((SUMIF('Study Area 3 Input'!C20:C79,"AV",'Study Area 3 Input'!M20:M79))*12,2)</f>
        <v>0</v>
      </c>
      <c r="F62" s="124">
        <f>ROUND(SUMIF('Study Area 3 Input'!$C90:$C150,"AV",'Study Area 3 Input'!I90:I150),2)</f>
        <v>0</v>
      </c>
      <c r="G62" s="125">
        <f>ROUND(SUMIF('Study Area 3 Input'!$C90:$C150,"AV",'Study Area 3 Input'!J90:J150),2)</f>
        <v>0</v>
      </c>
      <c r="H62" s="126">
        <f>ROUND(SUMIF('Study Area 3 Input'!$C90:$C150,"AV",'Study Area 3 Input'!K90:K150),2)</f>
        <v>0</v>
      </c>
      <c r="I62" s="124">
        <f t="shared" ref="I62:I67" si="14">SUM(C62,F62)</f>
        <v>0</v>
      </c>
      <c r="J62" s="125">
        <f t="shared" ref="J62:J67" si="15">SUM(D62,G62)</f>
        <v>0</v>
      </c>
      <c r="K62" s="126">
        <f t="shared" ref="K62:K67" si="16">SUM(E62,H62)</f>
        <v>0</v>
      </c>
      <c r="L62" s="14"/>
      <c r="M62" s="14"/>
    </row>
    <row r="63" spans="1:15" x14ac:dyDescent="0.55000000000000004">
      <c r="A63" s="122">
        <v>3</v>
      </c>
      <c r="B63" s="216" t="s">
        <v>197</v>
      </c>
      <c r="C63" s="124">
        <f>ROUND((SUMIF('Study Area 3 Input'!C20:C79,"DS1",'Study Area 3 Input'!K20:K79))*12,2)</f>
        <v>0</v>
      </c>
      <c r="D63" s="125">
        <f>ROUND((SUMIF('Study Area 3 Input'!C20:C79,"DS1",'Study Area 3 Input'!L20:L79))*12,2)</f>
        <v>0</v>
      </c>
      <c r="E63" s="126">
        <f>ROUND((SUMIF('Study Area 3 Input'!C20:C79,"DS1",'Study Area 3 Input'!M20:M79))*12,2)</f>
        <v>0</v>
      </c>
      <c r="F63" s="124">
        <f>ROUND(SUMIF('Study Area 3 Input'!$C90:$C150,"DS1",'Study Area 3 Input'!I90:I150),2)</f>
        <v>0</v>
      </c>
      <c r="G63" s="125">
        <f>ROUND(SUMIF('Study Area 3 Input'!$C90:$C150,"DS1",'Study Area 3 Input'!J90:J150),2)</f>
        <v>0</v>
      </c>
      <c r="H63" s="126">
        <f>ROUND(SUMIF('Study Area 3 Input'!$C90:$C150,"DS1",'Study Area 3 Input'!K90:K150),2)</f>
        <v>0</v>
      </c>
      <c r="I63" s="124">
        <f t="shared" si="14"/>
        <v>0</v>
      </c>
      <c r="J63" s="125">
        <f t="shared" si="15"/>
        <v>0</v>
      </c>
      <c r="K63" s="126">
        <f t="shared" si="16"/>
        <v>0</v>
      </c>
      <c r="L63" s="14"/>
      <c r="M63" s="14"/>
    </row>
    <row r="64" spans="1:15" x14ac:dyDescent="0.55000000000000004">
      <c r="A64" s="122">
        <v>4</v>
      </c>
      <c r="B64" s="216" t="s">
        <v>198</v>
      </c>
      <c r="C64" s="124">
        <f>ROUND((SUMIF('Study Area 3 Input'!C20:C79,"DS3",'Study Area 3 Input'!K20:K79))*12,2)</f>
        <v>0</v>
      </c>
      <c r="D64" s="125">
        <f>ROUND((SUMIF('Study Area 3 Input'!C20:C79,"DS3",'Study Area 3 Input'!L20:L79))*12,2)</f>
        <v>0</v>
      </c>
      <c r="E64" s="126">
        <f>ROUND((SUMIF('Study Area 3 Input'!C20:C79,"DS3",'Study Area 3 Input'!M20:M79))*12,2)</f>
        <v>0</v>
      </c>
      <c r="F64" s="124">
        <f>ROUND(SUMIF('Study Area 3 Input'!$C90:$C150,"DS3",'Study Area 3 Input'!I90:I150),2)</f>
        <v>0</v>
      </c>
      <c r="G64" s="125">
        <f>ROUND(SUMIF('Study Area 3 Input'!$C90:$C150,"DS3",'Study Area 3 Input'!J90:J150),2)</f>
        <v>0</v>
      </c>
      <c r="H64" s="126">
        <f>ROUND(SUMIF('Study Area 3 Input'!$C90:$C150,"DS3",'Study Area 3 Input'!K90:K150),2)</f>
        <v>0</v>
      </c>
      <c r="I64" s="124">
        <f t="shared" si="14"/>
        <v>0</v>
      </c>
      <c r="J64" s="125">
        <f t="shared" si="15"/>
        <v>0</v>
      </c>
      <c r="K64" s="126">
        <f t="shared" si="16"/>
        <v>0</v>
      </c>
      <c r="L64" s="14"/>
      <c r="M64" s="14"/>
    </row>
    <row r="65" spans="1:13" x14ac:dyDescent="0.55000000000000004">
      <c r="A65" s="122">
        <v>5</v>
      </c>
      <c r="B65" s="216" t="s">
        <v>199</v>
      </c>
      <c r="C65" s="124">
        <f>ROUND((SUMIF('Study Area 3 Input'!C20:C79,"DS1",'Study Area 3 Input'!K20:K79)+SUMIF('Study Area 3 Input'!C20:C79,"DS3",'Study Area 3 Input'!K20:K79)+SUMIF('Study Area 3 Input'!C20:C79,"DDS",'Study Area 3 Input'!K20:K79))*12,2)</f>
        <v>0</v>
      </c>
      <c r="D65" s="125">
        <f>ROUND((SUMIF('Study Area 3 Input'!C20:C79,"DS1",'Study Area 3 Input'!L20:L79)+SUMIF('Study Area 3 Input'!C20:C79,"DS3",'Study Area 3 Input'!L20:L79)+SUMIF('Study Area 3 Input'!C20:C79,"DDS",'Study Area 3 Input'!L20:L79))*12,2)</f>
        <v>0</v>
      </c>
      <c r="E65" s="126">
        <f>ROUND((SUMIF('Study Area 3 Input'!C20:C79,"DS1",'Study Area 3 Input'!M20:M79)+SUMIF('Study Area 3 Input'!C20:C79,"DS3",'Study Area 3 Input'!M20:M79)+SUMIF('Study Area 3 Input'!C20:C79,"DDS",'Study Area 3 Input'!M20:M79))*12,2)</f>
        <v>0</v>
      </c>
      <c r="F65" s="124">
        <f>ROUND(SUMIF('Study Area 3 Input'!$C90:$C150,"DS1",'Study Area 3 Input'!I90:I150)+SUMIF('Study Area 3 Input'!$C90:$C150,"DS3",'Study Area 3 Input'!I90:I150)+SUMIF('Study Area 3 Input'!$C90:$C150,"DDS",'Study Area 3 Input'!I90:I150),2)</f>
        <v>0</v>
      </c>
      <c r="G65" s="125">
        <f>ROUND(SUMIF('Study Area 3 Input'!$C90:$C150,"DS1",'Study Area 3 Input'!J90:J150)+SUMIF('Study Area 3 Input'!$C90:$C150,"DS3",'Study Area 3 Input'!J90:J150)+SUMIF('Study Area 3 Input'!$C90:$C150,"DDS",'Study Area 3 Input'!J90:J150),2)</f>
        <v>0</v>
      </c>
      <c r="H65" s="126">
        <f>ROUND(SUMIF('Study Area 3 Input'!$C90:$C150,"DS1",'Study Area 3 Input'!K90:K150)+SUMIF('Study Area 3 Input'!$C90:$C150,"DS3",'Study Area 3 Input'!K90:K150)+SUMIF('Study Area 3 Input'!$C90:$C150,"DDS",'Study Area 3 Input'!K90:K150),2)</f>
        <v>0</v>
      </c>
      <c r="I65" s="124">
        <f t="shared" si="14"/>
        <v>0</v>
      </c>
      <c r="J65" s="125">
        <f t="shared" si="15"/>
        <v>0</v>
      </c>
      <c r="K65" s="126">
        <f t="shared" si="16"/>
        <v>0</v>
      </c>
      <c r="L65" s="14"/>
      <c r="M65" s="14"/>
    </row>
    <row r="66" spans="1:13" x14ac:dyDescent="0.55000000000000004">
      <c r="A66" s="122">
        <v>6</v>
      </c>
      <c r="B66" s="217" t="s">
        <v>200</v>
      </c>
      <c r="C66" s="124">
        <f>ROUND((SUMIF('Study Area 3 Input'!C20:C79,"WIDE",'Study Area 3 Input'!K20:K79))*12,2)</f>
        <v>0</v>
      </c>
      <c r="D66" s="125">
        <f>ROUND((SUMIF('Study Area 3 Input'!C20:C79,"WIDE",'Study Area 3 Input'!L20:L79))*12,2)</f>
        <v>0</v>
      </c>
      <c r="E66" s="126">
        <f>ROUND((SUMIF('Study Area 3 Input'!C20:C79,"WIDE",'Study Area 3 Input'!M20:M79))*12,2)</f>
        <v>0</v>
      </c>
      <c r="F66" s="124">
        <f>ROUND(SUMIF('Study Area 3 Input'!$C90:$C150,"WIDE",'Study Area 3 Input'!I90:I150),2)</f>
        <v>0</v>
      </c>
      <c r="G66" s="125">
        <f>ROUND(SUMIF('Study Area 3 Input'!$C90:$C150,"WIDE",'Study Area 3 Input'!J90:J150),2)</f>
        <v>0</v>
      </c>
      <c r="H66" s="126">
        <f>ROUND(SUMIF('Study Area 3 Input'!$C90:$C150,"WIDE",'Study Area 3 Input'!K90:K150),2)</f>
        <v>0</v>
      </c>
      <c r="I66" s="124">
        <f t="shared" si="14"/>
        <v>0</v>
      </c>
      <c r="J66" s="125">
        <f t="shared" si="15"/>
        <v>0</v>
      </c>
      <c r="K66" s="126">
        <f t="shared" si="16"/>
        <v>0</v>
      </c>
      <c r="L66" s="14"/>
      <c r="M66" s="14"/>
    </row>
    <row r="67" spans="1:13" ht="14.7" thickBot="1" x14ac:dyDescent="0.6">
      <c r="A67" s="133">
        <v>7</v>
      </c>
      <c r="B67" s="218" t="s">
        <v>207</v>
      </c>
      <c r="C67" s="219">
        <f>ROUND(SUM($C61,$C62,$C65,$C66,(SUMIF('Study Area 3 Input'!C20:C79,"MISC",'Study Area 3 Input'!K20:K79))*12),2)</f>
        <v>0</v>
      </c>
      <c r="D67" s="220">
        <f>ROUND(SUM($D61,$D62,$D65,$D66,(SUMIF('Study Area 3 Input'!C20:C79,"MISC",'Study Area 3 Input'!L20:L79))*12),2)</f>
        <v>0</v>
      </c>
      <c r="E67" s="221">
        <f>ROUND(SUM($E61,$E62,$E65,$E66,(SUMIF('Study Area 3 Input'!C20:C79,"MISC",'Study Area 3 Input'!M20:M79))*12),2)</f>
        <v>0</v>
      </c>
      <c r="F67" s="219">
        <f>ROUND(SUM($F61,$F62,$F65,$F66,SUMIF('Study Area 3 Input'!$C90:$C150,"MISC",'Study Area 3 Input'!I90:I150)),2)</f>
        <v>0</v>
      </c>
      <c r="G67" s="220">
        <f>ROUND(SUM($G61,$G62,$G65,$G66,SUMIF('Study Area 3 Input'!$C90:$C150,"MISC",'Study Area 3 Input'!J90:J150)),2)</f>
        <v>0</v>
      </c>
      <c r="H67" s="221">
        <f>ROUND(SUM($H61,$H62,$H65,$H66,SUMIF('Study Area 3 Input'!$C90:$C150,"MISC",'Study Area 3 Input'!K90:K150)),2)</f>
        <v>0</v>
      </c>
      <c r="I67" s="219">
        <f t="shared" si="14"/>
        <v>0</v>
      </c>
      <c r="J67" s="220">
        <f t="shared" si="15"/>
        <v>0</v>
      </c>
      <c r="K67" s="221">
        <f t="shared" si="16"/>
        <v>0</v>
      </c>
      <c r="L67" s="14"/>
      <c r="M67" s="14"/>
    </row>
    <row r="68" spans="1:13" x14ac:dyDescent="0.55000000000000004">
      <c r="A68" s="25"/>
      <c r="B68" s="21"/>
      <c r="C68" s="12"/>
      <c r="D68" s="12"/>
      <c r="E68" s="12"/>
      <c r="F68" s="12"/>
      <c r="G68" s="12"/>
      <c r="H68" s="12"/>
    </row>
    <row r="69" spans="1:13" x14ac:dyDescent="0.55000000000000004">
      <c r="A69" s="25"/>
      <c r="B69" s="21"/>
      <c r="C69" s="12"/>
      <c r="D69" s="12"/>
      <c r="E69" s="12"/>
      <c r="F69" s="12"/>
      <c r="G69" s="12"/>
      <c r="H69" s="12"/>
    </row>
  </sheetData>
  <mergeCells count="30">
    <mergeCell ref="D1:E1"/>
    <mergeCell ref="A56:A59"/>
    <mergeCell ref="A6:B6"/>
    <mergeCell ref="A7:B7"/>
    <mergeCell ref="A8:B8"/>
    <mergeCell ref="A9:B9"/>
    <mergeCell ref="A2:B2"/>
    <mergeCell ref="A4:B4"/>
    <mergeCell ref="A26:A29"/>
    <mergeCell ref="C6:E6"/>
    <mergeCell ref="C7:F7"/>
    <mergeCell ref="C8:F8"/>
    <mergeCell ref="F11:K11"/>
    <mergeCell ref="A41:A44"/>
    <mergeCell ref="B12:F12"/>
    <mergeCell ref="C57:E57"/>
    <mergeCell ref="F57:H57"/>
    <mergeCell ref="I57:K57"/>
    <mergeCell ref="I12:J12"/>
    <mergeCell ref="K12:L12"/>
    <mergeCell ref="G12:H12"/>
    <mergeCell ref="B41:K41"/>
    <mergeCell ref="C42:E42"/>
    <mergeCell ref="F42:H42"/>
    <mergeCell ref="I42:K42"/>
    <mergeCell ref="B56:K56"/>
    <mergeCell ref="D27:E27"/>
    <mergeCell ref="G27:H27"/>
    <mergeCell ref="J27:K27"/>
    <mergeCell ref="B26:K26"/>
  </mergeCells>
  <conditionalFormatting sqref="F23:F24">
    <cfRule type="expression" dxfId="3" priority="7">
      <formula>$F23="Fail"</formula>
    </cfRule>
    <cfRule type="expression" dxfId="2" priority="8">
      <formula>$F23="Pass"</formula>
    </cfRule>
  </conditionalFormatting>
  <conditionalFormatting sqref="F16:F22">
    <cfRule type="expression" dxfId="1" priority="11">
      <formula>$F16="Fail"</formula>
    </cfRule>
    <cfRule type="expression" dxfId="0" priority="12">
      <formula>$F16="Pass"</formula>
    </cfRule>
  </conditionalFormatting>
  <pageMargins left="0.25" right="0.25" top="0.75" bottom="0.75" header="0.3" footer="0.3"/>
  <pageSetup paperSize="5" scale="48" fitToHeight="0" orientation="landscape" r:id="rId1"/>
  <rowBreaks count="2" manualBreakCount="2">
    <brk id="23" max="16383" man="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4FE5-DDB7-46AB-B96C-3A76A3B8ECB5}">
  <sheetPr>
    <tabColor rgb="FFFF0000"/>
    <pageSetUpPr fitToPage="1"/>
  </sheetPr>
  <dimension ref="A1:B38"/>
  <sheetViews>
    <sheetView workbookViewId="0">
      <selection activeCell="B10" sqref="B10"/>
    </sheetView>
  </sheetViews>
  <sheetFormatPr defaultColWidth="9.15625" defaultRowHeight="14.4" x14ac:dyDescent="0.55000000000000004"/>
  <cols>
    <col min="1" max="1" width="18.578125" customWidth="1"/>
  </cols>
  <sheetData>
    <row r="1" spans="1:2" x14ac:dyDescent="0.55000000000000004">
      <c r="A1" t="s">
        <v>210</v>
      </c>
    </row>
    <row r="2" spans="1:2" x14ac:dyDescent="0.55000000000000004">
      <c r="A2" s="7" t="s">
        <v>211</v>
      </c>
    </row>
    <row r="3" spans="1:2" x14ac:dyDescent="0.55000000000000004">
      <c r="A3" s="7" t="s">
        <v>172</v>
      </c>
    </row>
    <row r="5" spans="1:2" x14ac:dyDescent="0.55000000000000004">
      <c r="A5" t="s">
        <v>212</v>
      </c>
      <c r="B5">
        <v>2023</v>
      </c>
    </row>
    <row r="6" spans="1:2" x14ac:dyDescent="0.55000000000000004">
      <c r="A6" t="s">
        <v>213</v>
      </c>
      <c r="B6">
        <v>2024</v>
      </c>
    </row>
    <row r="8" spans="1:2" x14ac:dyDescent="0.55000000000000004">
      <c r="A8" t="s">
        <v>214</v>
      </c>
      <c r="B8" s="7" t="s">
        <v>174</v>
      </c>
    </row>
    <row r="10" spans="1:2" x14ac:dyDescent="0.55000000000000004">
      <c r="A10" t="s">
        <v>215</v>
      </c>
      <c r="B10" s="7" t="s">
        <v>173</v>
      </c>
    </row>
    <row r="34" spans="1:1" x14ac:dyDescent="0.55000000000000004">
      <c r="A34" t="s">
        <v>27</v>
      </c>
    </row>
    <row r="35" spans="1:1" x14ac:dyDescent="0.55000000000000004">
      <c r="A35" t="s">
        <v>28</v>
      </c>
    </row>
    <row r="36" spans="1:1" x14ac:dyDescent="0.55000000000000004">
      <c r="A36" t="s">
        <v>29</v>
      </c>
    </row>
    <row r="38" spans="1:1" x14ac:dyDescent="0.55000000000000004">
      <c r="A38" t="s">
        <v>31</v>
      </c>
    </row>
  </sheetData>
  <pageMargins left="0.25" right="0.25" top="0.75" bottom="0.75" header="0.3" footer="0.3"/>
  <pageSetup paperSize="5" scale="89"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Exogenous Costs</vt:lpstr>
      <vt:lpstr>Study Area 1 Input (new)</vt:lpstr>
      <vt:lpstr>Study Area 2 Input</vt:lpstr>
      <vt:lpstr>Study Area 3 Input</vt:lpstr>
      <vt:lpstr>Factor Dev</vt:lpstr>
      <vt:lpstr>Holding Co TRP</vt:lpstr>
      <vt:lpstr>Date sheet</vt:lpstr>
      <vt:lpstr>CurrentRate</vt:lpstr>
      <vt:lpstr>DemandYear</vt:lpstr>
      <vt:lpstr>FilingYear</vt:lpstr>
      <vt:lpstr>'Exogenous Costs'!Print_Titles</vt:lpstr>
      <vt:lpstr>'Factor Dev'!Print_Titles</vt:lpstr>
      <vt:lpstr>'Holding Co TRP'!Print_Titles</vt:lpstr>
      <vt:lpstr>'Study Area 1 Input (new)'!Print_Titles</vt:lpstr>
      <vt:lpstr>'Study Area 2 Input'!Print_Titles</vt:lpstr>
      <vt:lpstr>'Study Area 3 Input'!Print_Titles</vt:lpstr>
      <vt:lpstr>TariffEffectiveDate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2024-05-06T20:07:55Z</dcterms:created>
  <dcterms:modified xsi:type="dcterms:W3CDTF">2024-05-07T17:50:45Z</dcterms:modified>
  <cp:category/>
  <cp:contentStatus/>
</cp:coreProperties>
</file>